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Dashboard" sheetId="2" state="visible" r:id="rId2"/>
    <sheet name="Helpdesk Tickets" sheetId="3" state="visible" r:id="rId3"/>
    <sheet name="SLA &amp; Agent Performance" sheetId="4" state="visible" r:id="rId4"/>
    <sheet name="Change Management" sheetId="5" state="visible" r:id="rId5"/>
    <sheet name="Incident &amp; Problem Log" sheetId="6" state="visible" r:id="rId6"/>
    <sheet name="System Uptime" sheetId="7" state="visible" r:id="rId7"/>
    <sheet name="IT Asset Management" sheetId="8" state="visible" r:id="rId8"/>
    <sheet name="Software &amp; Licenses" sheetId="9" state="visible" r:id="rId9"/>
    <sheet name="Cloud &amp; Infra Cost" sheetId="10" state="visible" r:id="rId10"/>
    <sheet name="Backup &amp; DR" sheetId="11" state="visible" r:id="rId11"/>
    <sheet name="IT Project Portfolio" sheetId="12" state="visible" r:id="rId12"/>
    <sheet name="Vendor &amp; Contracts" sheetId="13" state="visible" r:id="rId13"/>
    <sheet name="Strategic IT KPIs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0.0"/>
    <numFmt numFmtId="166" formatCode="$#,##0"/>
    <numFmt numFmtId="167" formatCode="0.000%"/>
    <numFmt numFmtId="168" formatCode="0.0&quot;%&quot;"/>
    <numFmt numFmtId="169" formatCode="#,##0.0"/>
  </numFmts>
  <fonts count="43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94A3B8"/>
      <sz val="9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b val="1"/>
      <color rgb="001E293B"/>
      <sz val="9"/>
    </font>
    <font>
      <name val="Calibri"/>
      <color rgb="00334155"/>
      <sz val="9"/>
    </font>
    <font>
      <name val="Calibri"/>
      <b val="1"/>
      <color rgb="00475569"/>
      <sz val="8"/>
    </font>
    <font>
      <name val="Calibri"/>
      <b val="1"/>
      <color rgb="002563EB"/>
      <sz val="18"/>
    </font>
    <font>
      <name val="Calibri"/>
      <i val="1"/>
      <color rgb="0064748B"/>
      <sz val="7"/>
    </font>
    <font>
      <name val="Calibri"/>
      <b val="1"/>
      <color rgb="0016A34A"/>
      <sz val="18"/>
    </font>
    <font>
      <name val="Calibri"/>
      <b val="1"/>
      <color rgb="000D9488"/>
      <sz val="18"/>
    </font>
    <font>
      <name val="Calibri"/>
      <b val="1"/>
      <color rgb="007C3AED"/>
      <sz val="18"/>
    </font>
    <font>
      <name val="Calibri"/>
      <b val="1"/>
      <color rgb="00D97706"/>
      <sz val="18"/>
    </font>
    <font>
      <name val="Calibri"/>
      <b val="1"/>
      <color rgb="000F172A"/>
      <sz val="18"/>
    </font>
    <font>
      <name val="Calibri"/>
      <b val="1"/>
      <color rgb="000284C7"/>
      <sz val="18"/>
    </font>
    <font>
      <name val="Calibri"/>
      <b val="1"/>
      <color rgb="00FFFFFF"/>
      <sz val="10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color rgb="001E293B"/>
      <sz val="9"/>
    </font>
    <font>
      <name val="Calibri"/>
      <b val="1"/>
      <color rgb="000F172A"/>
      <sz val="9"/>
    </font>
    <font>
      <name val="Calibri"/>
      <b val="1"/>
      <color rgb="00166534"/>
      <sz val="9"/>
    </font>
    <font>
      <name val="Calibri"/>
      <b val="1"/>
      <color rgb="00000000"/>
      <sz val="9"/>
    </font>
    <font>
      <name val="Calibri"/>
      <b val="1"/>
      <color rgb="002563EB"/>
      <sz val="11"/>
    </font>
    <font>
      <name val="Calibri"/>
      <b val="1"/>
      <color rgb="0016A34A"/>
      <sz val="11"/>
    </font>
    <font>
      <name val="Calibri"/>
      <b val="1"/>
      <color rgb="000D9488"/>
      <sz val="11"/>
    </font>
    <font>
      <name val="Calibri"/>
      <b val="1"/>
      <color rgb="007C3AED"/>
      <sz val="11"/>
    </font>
    <font>
      <name val="Calibri"/>
      <b val="1"/>
      <color rgb="0016A34A"/>
      <sz val="8"/>
    </font>
    <font>
      <name val="Calibri"/>
      <b val="1"/>
      <color rgb="00991B1B"/>
      <sz val="8"/>
    </font>
    <font>
      <name val="Calibri"/>
      <b val="1"/>
      <color rgb="0092400E"/>
      <sz val="8"/>
    </font>
    <font>
      <name val="Calibri"/>
      <b val="1"/>
      <color rgb="002563EB"/>
      <sz val="9"/>
    </font>
    <font>
      <name val="Calibri"/>
      <color rgb="00000000"/>
      <sz val="9"/>
    </font>
    <font>
      <name val="Calibri"/>
      <b val="1"/>
      <color rgb="0092400E"/>
      <sz val="9"/>
    </font>
    <font>
      <name val="Calibri"/>
      <b val="1"/>
      <color rgb="00991B1B"/>
      <sz val="9"/>
    </font>
    <font>
      <name val="Calibri"/>
      <color rgb="00475569"/>
      <sz val="9"/>
    </font>
    <font>
      <name val="Calibri"/>
      <b val="1"/>
      <color rgb="0016A34A"/>
      <sz val="9"/>
    </font>
    <font>
      <name val="Calibri"/>
      <b val="1"/>
      <color rgb="007C3AED"/>
      <sz val="9"/>
    </font>
    <font>
      <name val="Calibri"/>
      <b val="1"/>
      <color rgb="0092400E"/>
      <sz val="11"/>
    </font>
    <font>
      <name val="Calibri"/>
      <b val="1"/>
      <color rgb="00991B1B"/>
      <sz val="11"/>
    </font>
    <font>
      <name val="Calibri"/>
      <b val="1"/>
      <color rgb="000F172A"/>
      <sz val="11"/>
    </font>
    <font>
      <name val="Calibri"/>
      <b val="1"/>
      <color rgb="00475569"/>
      <sz val="9"/>
    </font>
    <font>
      <name val="Calibri"/>
      <b val="1"/>
      <color rgb="0000F5D4"/>
      <sz val="11"/>
    </font>
    <font>
      <name val="Calibri"/>
      <color rgb="00E2E8F0"/>
      <sz val="9"/>
    </font>
  </fonts>
  <fills count="1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2563EB"/>
        <bgColor rgb="002563EB"/>
      </patternFill>
    </fill>
    <fill>
      <patternFill patternType="solid">
        <fgColor rgb="00334155"/>
        <bgColor rgb="00334155"/>
      </patternFill>
    </fill>
    <fill>
      <patternFill patternType="solid">
        <fgColor rgb="00F8FAFC"/>
        <bgColor rgb="00F8FAFC"/>
      </patternFill>
    </fill>
    <fill>
      <patternFill patternType="solid">
        <fgColor rgb="00EFF6FF"/>
        <bgColor rgb="00EFF6FF"/>
      </patternFill>
    </fill>
    <fill>
      <patternFill patternType="solid">
        <fgColor rgb="00F0FDF4"/>
        <bgColor rgb="00F0FDF4"/>
      </patternFill>
    </fill>
    <fill>
      <patternFill patternType="solid">
        <fgColor rgb="00FAF5FF"/>
        <bgColor rgb="00FAF5FF"/>
      </patternFill>
    </fill>
    <fill>
      <patternFill patternType="solid">
        <fgColor rgb="00FFFBEB"/>
        <bgColor rgb="00FFFBEB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1">
    <border>
      <left/>
      <right/>
      <top/>
      <bottom/>
      <diagonal/>
    </border>
    <border>
      <left style="thin">
        <color rgb="00334155"/>
      </left>
      <right style="thin">
        <color rgb="00334155"/>
      </right>
      <top style="thin">
        <color rgb="00334155"/>
      </top>
      <bottom style="thin">
        <color rgb="00334155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top style="thin">
        <color rgb="00CBD5E1"/>
      </top>
    </border>
    <border>
      <top style="thin">
        <color rgb="00CBD5E1"/>
      </top>
    </border>
    <border>
      <right style="thin">
        <color rgb="00CBD5E1"/>
      </right>
      <top style="thin">
        <color rgb="00CBD5E1"/>
      </top>
    </border>
    <border>
      <left style="thin">
        <color rgb="00CBD5E1"/>
      </left>
    </border>
    <border/>
    <border>
      <right style="thin">
        <color rgb="00CBD5E1"/>
      </right>
    </border>
    <border>
      <left style="thin">
        <color rgb="00CBD5E1"/>
      </left>
      <bottom style="thin">
        <color rgb="00CBD5E1"/>
      </bottom>
    </border>
    <border>
      <bottom style="thin">
        <color rgb="00CBD5E1"/>
      </bottom>
    </border>
    <border>
      <right style="thin">
        <color rgb="00CBD5E1"/>
      </right>
      <bottom style="thin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/>
      <right/>
      <top style="thin">
        <color rgb="00334155"/>
      </top>
      <bottom/>
      <diagonal/>
    </border>
    <border>
      <left/>
      <right style="thin">
        <color rgb="00334155"/>
      </right>
      <top style="thin">
        <color rgb="00334155"/>
      </top>
      <bottom/>
      <diagonal/>
    </border>
    <border>
      <left/>
      <right/>
      <top style="thin">
        <color rgb="00334155"/>
      </top>
      <bottom style="thin">
        <color rgb="00334155"/>
      </bottom>
      <diagonal/>
    </border>
    <border>
      <left/>
      <right style="thin">
        <color rgb="00334155"/>
      </right>
      <top style="thin">
        <color rgb="00334155"/>
      </top>
      <bottom style="thin">
        <color rgb="00334155"/>
      </bottom>
      <diagonal/>
    </border>
    <border>
      <left style="thin">
        <color rgb="00CBD5E1"/>
      </left>
      <right style="thin">
        <color rgb="00CBD5E1"/>
      </right>
      <bottom style="thin">
        <color rgb="00CBD5E1"/>
      </bottom>
    </border>
    <border>
      <left/>
      <right style="thin">
        <color rgb="00CBD5E1"/>
      </right>
      <top/>
      <bottom/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thin">
        <color rgb="00CBD5E1"/>
      </top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 style="thin">
        <color rgb="00CBD5E1"/>
      </left>
      <right style="thin">
        <color rgb="00CBD5E1"/>
      </right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  <border>
      <left style="thin">
        <color rgb="00CBD5E1"/>
      </left>
      <right style="thin">
        <color rgb="00CBD5E1"/>
      </right>
      <top style="thin">
        <color rgb="00CBD5E1"/>
      </top>
      <bottom/>
    </border>
    <border>
      <left style="thin">
        <color rgb="00CBD5E1"/>
      </left>
      <right style="thin">
        <color rgb="00CBD5E1"/>
      </right>
      <bottom/>
    </border>
  </borders>
  <cellStyleXfs count="1">
    <xf numFmtId="0" fontId="0" fillId="0" borderId="0"/>
  </cellStyleXfs>
  <cellXfs count="15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5" borderId="1" applyAlignment="1" pivotButton="0" quotePrefix="0" xfId="0">
      <alignment horizontal="left" vertical="center" wrapText="1"/>
    </xf>
    <xf numFmtId="0" fontId="5" fillId="6" borderId="2" pivotButton="0" quotePrefix="0" xfId="0"/>
    <xf numFmtId="0" fontId="6" fillId="0" borderId="2" applyAlignment="1" pivotButton="0" quotePrefix="0" xfId="0">
      <alignment vertical="center" wrapText="1"/>
    </xf>
    <xf numFmtId="0" fontId="7" fillId="7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7" fillId="8" borderId="3" applyAlignment="1" pivotButton="0" quotePrefix="0" xfId="0">
      <alignment horizontal="center" vertical="center"/>
    </xf>
    <xf numFmtId="0" fontId="7" fillId="9" borderId="3" applyAlignment="1" pivotButton="0" quotePrefix="0" xfId="0">
      <alignment horizontal="center" vertical="center"/>
    </xf>
    <xf numFmtId="3" fontId="8" fillId="7" borderId="6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164" fontId="10" fillId="8" borderId="6" applyAlignment="1" pivotButton="0" quotePrefix="0" xfId="0">
      <alignment horizontal="center" vertical="center"/>
    </xf>
    <xf numFmtId="10" fontId="11" fillId="8" borderId="6" applyAlignment="1" pivotButton="0" quotePrefix="0" xfId="0">
      <alignment horizontal="center" vertical="center"/>
    </xf>
    <xf numFmtId="165" fontId="12" fillId="9" borderId="6" applyAlignment="1" pivotButton="0" quotePrefix="0" xfId="0">
      <alignment horizontal="center" vertical="center"/>
    </xf>
    <xf numFmtId="0" fontId="9" fillId="7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9" fillId="8" borderId="9" applyAlignment="1" pivotButton="0" quotePrefix="0" xfId="0">
      <alignment horizontal="center" vertical="center"/>
    </xf>
    <xf numFmtId="0" fontId="9" fillId="9" borderId="9" applyAlignment="1" pivotButton="0" quotePrefix="0" xfId="0">
      <alignment horizontal="center" vertical="center"/>
    </xf>
    <xf numFmtId="0" fontId="7" fillId="10" borderId="3" applyAlignment="1" pivotButton="0" quotePrefix="0" xfId="0">
      <alignment horizontal="center" vertical="center"/>
    </xf>
    <xf numFmtId="0" fontId="7" fillId="6" borderId="3" applyAlignment="1" pivotButton="0" quotePrefix="0" xfId="0">
      <alignment horizontal="center" vertical="center"/>
    </xf>
    <xf numFmtId="3" fontId="13" fillId="10" borderId="6" applyAlignment="1" pivotButton="0" quotePrefix="0" xfId="0">
      <alignment horizontal="center" vertical="center"/>
    </xf>
    <xf numFmtId="166" fontId="14" fillId="6" borderId="6" applyAlignment="1" pivotButton="0" quotePrefix="0" xfId="0">
      <alignment horizontal="center" vertical="center"/>
    </xf>
    <xf numFmtId="3" fontId="15" fillId="7" borderId="6" applyAlignment="1" pivotButton="0" quotePrefix="0" xfId="0">
      <alignment horizontal="center" vertical="center"/>
    </xf>
    <xf numFmtId="0" fontId="9" fillId="10" borderId="9" applyAlignment="1" pivotButton="0" quotePrefix="0" xfId="0">
      <alignment horizontal="center" vertical="center"/>
    </xf>
    <xf numFmtId="0" fontId="9" fillId="6" borderId="9" applyAlignment="1" pivotButton="0" quotePrefix="0" xfId="0">
      <alignment horizontal="center" vertical="center"/>
    </xf>
    <xf numFmtId="0" fontId="16" fillId="3" borderId="0" applyAlignment="1" pivotButton="0" quotePrefix="0" xfId="0">
      <alignment horizontal="left" vertical="center" indent="1"/>
    </xf>
    <xf numFmtId="0" fontId="17" fillId="0" borderId="0" pivotButton="0" quotePrefix="0" xfId="0"/>
    <xf numFmtId="0" fontId="18" fillId="0" borderId="0" pivotButton="0" quotePrefix="0" xfId="0"/>
    <xf numFmtId="0" fontId="16" fillId="2" borderId="0" applyAlignment="1" pivotButton="0" quotePrefix="0" xfId="0">
      <alignment horizontal="left" vertical="center" indent="1"/>
    </xf>
    <xf numFmtId="0" fontId="4" fillId="5" borderId="1" applyAlignment="1" pivotButton="0" quotePrefix="0" xfId="0">
      <alignment horizontal="center" vertical="center" wrapText="1"/>
    </xf>
    <xf numFmtId="0" fontId="20" fillId="0" borderId="2" applyAlignment="1" pivotButton="0" quotePrefix="0" xfId="0">
      <alignment horizontal="left" vertical="center"/>
    </xf>
    <xf numFmtId="0" fontId="19" fillId="0" borderId="2" applyAlignment="1" pivotButton="0" quotePrefix="0" xfId="0">
      <alignment horizontal="left" vertical="center"/>
    </xf>
    <xf numFmtId="0" fontId="19" fillId="0" borderId="2" applyAlignment="1" pivotButton="0" quotePrefix="0" xfId="0">
      <alignment horizontal="center" vertical="center"/>
    </xf>
    <xf numFmtId="0" fontId="21" fillId="11" borderId="2" applyAlignment="1" pivotButton="0" quotePrefix="0" xfId="0">
      <alignment horizontal="center" vertical="center"/>
    </xf>
    <xf numFmtId="0" fontId="22" fillId="0" borderId="0" pivotButton="0" quotePrefix="0" xfId="0"/>
    <xf numFmtId="0" fontId="23" fillId="0" borderId="0" pivotButton="0" quotePrefix="0" xfId="0"/>
    <xf numFmtId="164" fontId="24" fillId="0" borderId="0" pivotButton="0" quotePrefix="0" xfId="0"/>
    <xf numFmtId="165" fontId="25" fillId="0" borderId="0" pivotButton="0" quotePrefix="0" xfId="0"/>
    <xf numFmtId="165" fontId="26" fillId="0" borderId="0" pivotButton="0" quotePrefix="0" xfId="0"/>
    <xf numFmtId="0" fontId="27" fillId="0" borderId="0" pivotButton="0" quotePrefix="0" xfId="0"/>
    <xf numFmtId="0" fontId="28" fillId="0" borderId="0" pivotButton="0" quotePrefix="0" xfId="0"/>
    <xf numFmtId="0" fontId="29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30" fillId="0" borderId="2" pivotButton="0" quotePrefix="0" xfId="0"/>
    <xf numFmtId="0" fontId="31" fillId="0" borderId="2" pivotButton="0" quotePrefix="0" xfId="0"/>
    <xf numFmtId="0" fontId="32" fillId="12" borderId="2" pivotButton="0" quotePrefix="0" xfId="0"/>
    <xf numFmtId="0" fontId="21" fillId="11" borderId="2" pivotButton="0" quotePrefix="0" xfId="0"/>
    <xf numFmtId="165" fontId="31" fillId="0" borderId="2" pivotButton="0" quotePrefix="0" xfId="0"/>
    <xf numFmtId="1" fontId="22" fillId="0" borderId="2" pivotButton="0" quotePrefix="0" xfId="0"/>
    <xf numFmtId="0" fontId="22" fillId="0" borderId="2" pivotButton="0" quotePrefix="0" xfId="0"/>
    <xf numFmtId="0" fontId="22" fillId="0" borderId="2" applyAlignment="1" pivotButton="0" quotePrefix="0" xfId="0">
      <alignment horizontal="center" vertical="center"/>
    </xf>
    <xf numFmtId="0" fontId="22" fillId="6" borderId="2" pivotButton="0" quotePrefix="0" xfId="0"/>
    <xf numFmtId="0" fontId="33" fillId="13" borderId="2" pivotButton="0" quotePrefix="0" xfId="0"/>
    <xf numFmtId="0" fontId="30" fillId="7" borderId="2" pivotButton="0" quotePrefix="0" xfId="0"/>
    <xf numFmtId="0" fontId="20" fillId="0" borderId="2" pivotButton="0" quotePrefix="0" xfId="0"/>
    <xf numFmtId="0" fontId="34" fillId="0" borderId="2" pivotButton="0" quotePrefix="0" xfId="0"/>
    <xf numFmtId="0" fontId="35" fillId="0" borderId="2" applyAlignment="1" pivotButton="0" quotePrefix="0" xfId="0">
      <alignment horizontal="center" vertical="center"/>
    </xf>
    <xf numFmtId="0" fontId="32" fillId="0" borderId="2" applyAlignment="1" pivotButton="0" quotePrefix="0" xfId="0">
      <alignment horizontal="center" vertical="center"/>
    </xf>
    <xf numFmtId="164" fontId="22" fillId="0" borderId="2" applyAlignment="1" pivotButton="0" quotePrefix="0" xfId="0">
      <alignment horizontal="center" vertical="center"/>
    </xf>
    <xf numFmtId="0" fontId="31" fillId="0" borderId="2" applyAlignment="1" pivotButton="0" quotePrefix="0" xfId="0">
      <alignment horizontal="center" vertical="center"/>
    </xf>
    <xf numFmtId="164" fontId="35" fillId="0" borderId="2" applyAlignment="1" pivotButton="0" quotePrefix="0" xfId="0">
      <alignment horizontal="center" vertical="center"/>
    </xf>
    <xf numFmtId="165" fontId="36" fillId="0" borderId="2" applyAlignment="1" pivotButton="0" quotePrefix="0" xfId="0">
      <alignment horizontal="center" vertical="center"/>
    </xf>
    <xf numFmtId="0" fontId="33" fillId="13" borderId="2" applyAlignment="1" pivotButton="0" quotePrefix="0" xfId="0">
      <alignment horizontal="left" vertical="center"/>
    </xf>
    <xf numFmtId="0" fontId="32" fillId="12" borderId="2" applyAlignment="1" pivotButton="0" quotePrefix="0" xfId="0">
      <alignment horizontal="left" vertical="center"/>
    </xf>
    <xf numFmtId="0" fontId="22" fillId="0" borderId="2" applyAlignment="1" pivotButton="0" quotePrefix="0" xfId="0">
      <alignment horizontal="left" vertical="center"/>
    </xf>
    <xf numFmtId="0" fontId="24" fillId="0" borderId="0" pivotButton="0" quotePrefix="0" xfId="0"/>
    <xf numFmtId="0" fontId="37" fillId="0" borderId="0" pivotButton="0" quotePrefix="0" xfId="0"/>
    <xf numFmtId="0" fontId="30" fillId="0" borderId="2" applyAlignment="1" pivotButton="0" quotePrefix="0" xfId="0">
      <alignment horizontal="center" vertical="center"/>
    </xf>
    <xf numFmtId="0" fontId="32" fillId="12" borderId="2" applyAlignment="1" pivotButton="0" quotePrefix="0" xfId="0">
      <alignment horizontal="center" vertical="center"/>
    </xf>
    <xf numFmtId="0" fontId="33" fillId="13" borderId="2" applyAlignment="1" pivotButton="0" quotePrefix="0" xfId="0">
      <alignment horizontal="center" vertical="center"/>
    </xf>
    <xf numFmtId="0" fontId="30" fillId="7" borderId="2" applyAlignment="1" pivotButton="0" quotePrefix="0" xfId="0">
      <alignment horizontal="center" vertical="center"/>
    </xf>
    <xf numFmtId="0" fontId="38" fillId="0" borderId="0" pivotButton="0" quotePrefix="0" xfId="0"/>
    <xf numFmtId="0" fontId="30" fillId="0" borderId="2" applyAlignment="1" pivotButton="0" quotePrefix="0" xfId="0">
      <alignment horizontal="center" vertical="center" wrapText="1"/>
    </xf>
    <xf numFmtId="0" fontId="19" fillId="0" borderId="2" applyAlignment="1" pivotButton="0" quotePrefix="0" xfId="0">
      <alignment horizontal="center" vertical="center" wrapText="1"/>
    </xf>
    <xf numFmtId="0" fontId="33" fillId="13" borderId="2" applyAlignment="1" pivotButton="0" quotePrefix="0" xfId="0">
      <alignment horizontal="center" vertical="center" wrapText="1"/>
    </xf>
    <xf numFmtId="0" fontId="19" fillId="0" borderId="2" applyAlignment="1" pivotButton="0" quotePrefix="0" xfId="0">
      <alignment horizontal="left" vertical="center" wrapText="1"/>
    </xf>
    <xf numFmtId="3" fontId="22" fillId="0" borderId="2" applyAlignment="1" pivotButton="0" quotePrefix="0" xfId="0">
      <alignment horizontal="center" vertical="center" wrapText="1"/>
    </xf>
    <xf numFmtId="0" fontId="21" fillId="11" borderId="2" applyAlignment="1" pivotButton="0" quotePrefix="0" xfId="0">
      <alignment horizontal="center" vertical="center" wrapText="1"/>
    </xf>
    <xf numFmtId="0" fontId="32" fillId="12" borderId="2" applyAlignment="1" pivotButton="0" quotePrefix="0" xfId="0">
      <alignment horizontal="center" vertical="center" wrapText="1"/>
    </xf>
    <xf numFmtId="10" fontId="24" fillId="0" borderId="0" pivotButton="0" quotePrefix="0" xfId="0"/>
    <xf numFmtId="3" fontId="38" fillId="0" borderId="0" pivotButton="0" quotePrefix="0" xfId="0"/>
    <xf numFmtId="3" fontId="22" fillId="0" borderId="2" pivotButton="0" quotePrefix="0" xfId="0"/>
    <xf numFmtId="3" fontId="31" fillId="0" borderId="2" pivotButton="0" quotePrefix="0" xfId="0"/>
    <xf numFmtId="167" fontId="35" fillId="0" borderId="2" pivotButton="0" quotePrefix="0" xfId="0"/>
    <xf numFmtId="10" fontId="22" fillId="0" borderId="2" pivotButton="0" quotePrefix="0" xfId="0"/>
    <xf numFmtId="166" fontId="39" fillId="0" borderId="0" pivotButton="0" quotePrefix="0" xfId="0"/>
    <xf numFmtId="166" fontId="24" fillId="0" borderId="0" pivotButton="0" quotePrefix="0" xfId="0"/>
    <xf numFmtId="166" fontId="22" fillId="0" borderId="2" pivotButton="0" quotePrefix="0" xfId="0"/>
    <xf numFmtId="1" fontId="31" fillId="0" borderId="2" pivotButton="0" quotePrefix="0" xfId="0"/>
    <xf numFmtId="166" fontId="35" fillId="0" borderId="2" pivotButton="0" quotePrefix="0" xfId="0"/>
    <xf numFmtId="0" fontId="40" fillId="14" borderId="2" pivotButton="0" quotePrefix="0" xfId="0"/>
    <xf numFmtId="164" fontId="35" fillId="0" borderId="2" pivotButton="0" quotePrefix="0" xfId="0"/>
    <xf numFmtId="166" fontId="31" fillId="0" borderId="2" pivotButton="0" quotePrefix="0" xfId="0"/>
    <xf numFmtId="166" fontId="20" fillId="0" borderId="2" pivotButton="0" quotePrefix="0" xfId="0"/>
    <xf numFmtId="166" fontId="23" fillId="0" borderId="0" pivotButton="0" quotePrefix="0" xfId="0"/>
    <xf numFmtId="164" fontId="31" fillId="0" borderId="2" pivotButton="0" quotePrefix="0" xfId="0"/>
    <xf numFmtId="165" fontId="19" fillId="0" borderId="2" applyAlignment="1" pivotButton="0" quotePrefix="0" xfId="0">
      <alignment horizontal="center" vertical="center"/>
    </xf>
    <xf numFmtId="164" fontId="22" fillId="0" borderId="2" pivotButton="0" quotePrefix="0" xfId="0"/>
    <xf numFmtId="10" fontId="31" fillId="0" borderId="2" pivotButton="0" quotePrefix="0" xfId="0"/>
    <xf numFmtId="10" fontId="35" fillId="0" borderId="2" pivotButton="0" quotePrefix="0" xfId="0"/>
    <xf numFmtId="0" fontId="30" fillId="0" borderId="2" applyAlignment="1" pivotButton="0" quotePrefix="0" xfId="0">
      <alignment horizontal="left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14" pivotButton="0" quotePrefix="0" xfId="0"/>
    <xf numFmtId="0" fontId="0" fillId="0" borderId="15" pivotButton="0" quotePrefix="0" xfId="0"/>
    <xf numFmtId="0" fontId="7" fillId="7" borderId="24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26" pivotButton="0" quotePrefix="0" xfId="0"/>
    <xf numFmtId="0" fontId="7" fillId="8" borderId="24" applyAlignment="1" pivotButton="0" quotePrefix="0" xfId="0">
      <alignment horizontal="center" vertical="center"/>
    </xf>
    <xf numFmtId="0" fontId="7" fillId="9" borderId="24" applyAlignment="1" pivotButton="0" quotePrefix="0" xfId="0">
      <alignment horizontal="center" vertical="center"/>
    </xf>
    <xf numFmtId="3" fontId="8" fillId="7" borderId="27" applyAlignment="1" pivotButton="0" quotePrefix="0" xfId="0">
      <alignment horizontal="center" vertical="center"/>
    </xf>
    <xf numFmtId="0" fontId="0" fillId="0" borderId="21" pivotButton="0" quotePrefix="0" xfId="0"/>
    <xf numFmtId="164" fontId="10" fillId="8" borderId="27" applyAlignment="1" pivotButton="0" quotePrefix="0" xfId="0">
      <alignment horizontal="center" vertical="center"/>
    </xf>
    <xf numFmtId="10" fontId="11" fillId="8" borderId="27" applyAlignment="1" pivotButton="0" quotePrefix="0" xfId="0">
      <alignment horizontal="center" vertical="center"/>
    </xf>
    <xf numFmtId="165" fontId="12" fillId="9" borderId="27" applyAlignment="1" pivotButton="0" quotePrefix="0" xfId="0">
      <alignment horizontal="center" vertical="center"/>
    </xf>
    <xf numFmtId="0" fontId="9" fillId="7" borderId="20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9" fillId="8" borderId="20" applyAlignment="1" pivotButton="0" quotePrefix="0" xfId="0">
      <alignment horizontal="center" vertical="center"/>
    </xf>
    <xf numFmtId="0" fontId="9" fillId="9" borderId="20" applyAlignment="1" pivotButton="0" quotePrefix="0" xfId="0">
      <alignment horizontal="center" vertical="center"/>
    </xf>
    <xf numFmtId="0" fontId="7" fillId="10" borderId="24" applyAlignment="1" pivotButton="0" quotePrefix="0" xfId="0">
      <alignment horizontal="center" vertical="center"/>
    </xf>
    <xf numFmtId="0" fontId="7" fillId="6" borderId="24" applyAlignment="1" pivotButton="0" quotePrefix="0" xfId="0">
      <alignment horizontal="center" vertical="center"/>
    </xf>
    <xf numFmtId="3" fontId="13" fillId="10" borderId="27" applyAlignment="1" pivotButton="0" quotePrefix="0" xfId="0">
      <alignment horizontal="center" vertical="center"/>
    </xf>
    <xf numFmtId="166" fontId="14" fillId="6" borderId="27" applyAlignment="1" pivotButton="0" quotePrefix="0" xfId="0">
      <alignment horizontal="center" vertical="center"/>
    </xf>
    <xf numFmtId="3" fontId="15" fillId="7" borderId="27" applyAlignment="1" pivotButton="0" quotePrefix="0" xfId="0">
      <alignment horizontal="center" vertical="center"/>
    </xf>
    <xf numFmtId="0" fontId="9" fillId="10" borderId="20" applyAlignment="1" pivotButton="0" quotePrefix="0" xfId="0">
      <alignment horizontal="center" vertical="center"/>
    </xf>
    <xf numFmtId="0" fontId="9" fillId="6" borderId="20" applyAlignment="1" pivotButton="0" quotePrefix="0" xfId="0">
      <alignment horizontal="center" vertical="center"/>
    </xf>
    <xf numFmtId="0" fontId="41" fillId="0" borderId="0" pivotButton="0" quotePrefix="0" xfId="0"/>
    <xf numFmtId="0" fontId="4" fillId="15" borderId="28" applyAlignment="1" pivotButton="0" quotePrefix="0" xfId="0">
      <alignment horizontal="center" vertical="center"/>
    </xf>
    <xf numFmtId="0" fontId="42" fillId="16" borderId="28" applyAlignment="1" pivotButton="0" quotePrefix="0" xfId="0">
      <alignment horizontal="center" vertical="center"/>
    </xf>
    <xf numFmtId="168" fontId="4" fillId="16" borderId="28" applyAlignment="1" pivotButton="0" quotePrefix="0" xfId="0">
      <alignment horizontal="right" vertical="center"/>
    </xf>
    <xf numFmtId="0" fontId="42" fillId="16" borderId="28" applyAlignment="1" pivotButton="0" quotePrefix="0" xfId="0">
      <alignment horizontal="left" vertical="center"/>
    </xf>
    <xf numFmtId="165" fontId="4" fillId="16" borderId="28" applyAlignment="1" pivotButton="0" quotePrefix="0" xfId="0">
      <alignment horizontal="right" vertical="center"/>
    </xf>
    <xf numFmtId="0" fontId="7" fillId="7" borderId="29" applyAlignment="1" pivotButton="0" quotePrefix="0" xfId="0">
      <alignment horizontal="center" vertical="center"/>
    </xf>
    <xf numFmtId="0" fontId="7" fillId="8" borderId="29" applyAlignment="1" pivotButton="0" quotePrefix="0" xfId="0">
      <alignment horizontal="center" vertical="center"/>
    </xf>
    <xf numFmtId="0" fontId="7" fillId="9" borderId="29" applyAlignment="1" pivotButton="0" quotePrefix="0" xfId="0">
      <alignment horizontal="center" vertical="center"/>
    </xf>
    <xf numFmtId="3" fontId="8" fillId="7" borderId="30" applyAlignment="1" pivotButton="0" quotePrefix="0" xfId="0">
      <alignment horizontal="center" vertical="center"/>
    </xf>
    <xf numFmtId="164" fontId="10" fillId="8" borderId="30" applyAlignment="1" pivotButton="0" quotePrefix="0" xfId="0">
      <alignment horizontal="center" vertical="center"/>
    </xf>
    <xf numFmtId="10" fontId="11" fillId="8" borderId="30" applyAlignment="1" pivotButton="0" quotePrefix="0" xfId="0">
      <alignment horizontal="center" vertical="center"/>
    </xf>
    <xf numFmtId="165" fontId="12" fillId="9" borderId="30" applyAlignment="1" pivotButton="0" quotePrefix="0" xfId="0">
      <alignment horizontal="center" vertical="center"/>
    </xf>
    <xf numFmtId="0" fontId="7" fillId="10" borderId="29" applyAlignment="1" pivotButton="0" quotePrefix="0" xfId="0">
      <alignment horizontal="center" vertical="center"/>
    </xf>
    <xf numFmtId="0" fontId="7" fillId="6" borderId="29" applyAlignment="1" pivotButton="0" quotePrefix="0" xfId="0">
      <alignment horizontal="center" vertical="center"/>
    </xf>
    <xf numFmtId="3" fontId="13" fillId="10" borderId="30" applyAlignment="1" pivotButton="0" quotePrefix="0" xfId="0">
      <alignment horizontal="center" vertical="center"/>
    </xf>
    <xf numFmtId="166" fontId="14" fillId="6" borderId="30" applyAlignment="1" pivotButton="0" quotePrefix="0" xfId="0">
      <alignment horizontal="center" vertical="center"/>
    </xf>
    <xf numFmtId="3" fontId="15" fillId="7" borderId="30" applyAlignment="1" pivotButton="0" quotePrefix="0" xfId="0">
      <alignment horizontal="center" vertical="center"/>
    </xf>
    <xf numFmtId="3" fontId="4" fillId="16" borderId="28" applyAlignment="1" pivotButton="0" quotePrefix="0" xfId="0">
      <alignment horizontal="right" vertical="center"/>
    </xf>
    <xf numFmtId="169" fontId="4" fillId="16" borderId="28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166534"/>
        <sz val="9"/>
      </font>
      <fill>
        <patternFill patternType="solid">
          <fgColor rgb="00DCFCE7"/>
          <bgColor rgb="00DCFCE7"/>
        </patternFill>
      </fill>
    </dxf>
    <dxf>
      <font>
        <name val="Calibri"/>
        <b val="1"/>
        <color rgb="00991B1B"/>
        <sz val="9"/>
      </font>
      <fill>
        <patternFill patternType="solid">
          <fgColor rgb="00FEE2E2"/>
          <bgColor rgb="00FEE2E2"/>
        </patternFill>
      </fill>
    </dxf>
    <dxf>
      <font>
        <name val="Calibri"/>
        <b val="1"/>
        <color rgb="0092400E"/>
        <sz val="9"/>
      </font>
      <fill>
        <patternFill patternType="solid">
          <fgColor rgb="00FEF3C7"/>
          <bgColor rgb="00FEF3C7"/>
        </patternFill>
      </fill>
    </dxf>
    <dxf>
      <font>
        <name val="Calibri"/>
        <b val="1"/>
        <color rgb="002563EB"/>
        <sz val="9"/>
      </font>
      <fill>
        <patternFill patternType="solid">
          <fgColor rgb="00EFF6FF"/>
          <bgColor rgb="00EFF6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Ticket Volume (2026)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Dashboard'!A14</f>
            </strRef>
          </tx>
          <spPr>
            <a:ln>
              <a:prstDash val="solid"/>
            </a:ln>
          </spPr>
          <cat>
            <numRef>
              <f>'Executive Dashboard'!$B$13:$M$13</f>
            </numRef>
          </cat>
          <val>
            <numRef>
              <f>'Executive Dashboard'!$B$14:$M$14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Tickets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Distribution by Category</a:t>
            </a:r>
          </a:p>
        </rich>
      </tx>
    </title>
    <plotArea>
      <pieChart>
        <varyColors val="1"/>
        <ser>
          <idx val="0"/>
          <order val="0"/>
          <tx>
            <strRef>
              <f>'Executive Dashboard'!I13</f>
            </strRef>
          </tx>
          <spPr>
            <a:ln>
              <a:prstDash val="solid"/>
            </a:ln>
          </spPr>
          <cat>
            <numRef>
              <f>'Executive Dashboard'!$H$14:$H$18</f>
            </numRef>
          </cat>
          <val>
            <numRef>
              <f>'Executive Dashboard'!$I$14:$I$18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Major Incident Resolution SLA &amp; Change Success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Dashboard'!$B$50:$B$55</f>
            </numRef>
          </cat>
          <val>
            <numRef>
              <f>'Executive Dashboard'!$C$50:$C$55</f>
            </numRef>
          </val>
        </ser>
        <ser>
          <idx val="1"/>
          <order val="1"/>
          <tx>
            <strRef>
              <f>'Executive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Dashboard'!$B$50:$B$55</f>
            </numRef>
          </cat>
          <val>
            <numRef>
              <f>'Executive Dashboard'!$D$50:$D$55</f>
            </numRef>
          </val>
        </ser>
        <ser>
          <idx val="2"/>
          <order val="2"/>
          <tx>
            <strRef>
              <f>'Executive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Dashboard'!$B$50:$B$55</f>
            </numRef>
          </cat>
          <val>
            <numRef>
              <f>'Executive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ITSM &amp; IT Operations (ITIL v4) Maturity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Dashboard'!$G$50:$G$55</f>
            </numRef>
          </cat>
          <val>
            <numRef>
              <f>'Executive Dashboard'!$H$50:$H$55</f>
            </numRef>
          </val>
        </ser>
        <ser>
          <idx val="1"/>
          <order val="1"/>
          <tx>
            <strRef>
              <f>'Executive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Dashboard'!$G$50:$G$55</f>
            </numRef>
          </cat>
          <val>
            <numRef>
              <f>'Executive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Monthly IT Incident Ticket Resolution by Priority Tier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Dashboard'!C73</f>
            </strRef>
          </tx>
          <spPr>
            <a:ln>
              <a:prstDash val="solid"/>
            </a:ln>
          </spPr>
          <cat>
            <numRef>
              <f>'Executive Dashboard'!$B$74:$B$79</f>
            </numRef>
          </cat>
          <val>
            <numRef>
              <f>'Executive Dashboard'!$C$74:$C$79</f>
            </numRef>
          </val>
        </ser>
        <ser>
          <idx val="1"/>
          <order val="1"/>
          <tx>
            <strRef>
              <f>'Executive Dashboard'!D73</f>
            </strRef>
          </tx>
          <spPr>
            <a:ln>
              <a:prstDash val="solid"/>
            </a:ln>
          </spPr>
          <cat>
            <numRef>
              <f>'Executive Dashboard'!$B$74:$B$79</f>
            </numRef>
          </cat>
          <val>
            <numRef>
              <f>'Executive Dashboard'!$D$74:$D$79</f>
            </numRef>
          </val>
        </ser>
        <ser>
          <idx val="2"/>
          <order val="2"/>
          <tx>
            <strRef>
              <f>'Executive Dashboard'!E73</f>
            </strRef>
          </tx>
          <spPr>
            <a:ln>
              <a:prstDash val="solid"/>
            </a:ln>
          </spPr>
          <cat>
            <numRef>
              <f>'Executive Dashboard'!$B$74:$B$79</f>
            </numRef>
          </cat>
          <val>
            <numRef>
              <f>'Executive Dashboard'!$E$74:$E$79</f>
            </numRef>
          </val>
        </ser>
        <ser>
          <idx val="3"/>
          <order val="3"/>
          <tx>
            <strRef>
              <f>'Executive Dashboard'!F73</f>
            </strRef>
          </tx>
          <spPr>
            <a:ln>
              <a:prstDash val="solid"/>
            </a:ln>
          </spPr>
          <cat>
            <numRef>
              <f>'Executive Dashboard'!$B$74:$B$79</f>
            </numRef>
          </cat>
          <val>
            <numRef>
              <f>'Executive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Major Incident MTTR (Minutes) vs Business Financial Impact ($k)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Dashboard'!H73</f>
            </strRef>
          </tx>
          <spPr>
            <a:ln>
              <a:prstDash val="solid"/>
            </a:ln>
          </spPr>
          <cat>
            <numRef>
              <f>'Executive Dashboard'!$G$74:$G$79</f>
            </numRef>
          </cat>
          <val>
            <numRef>
              <f>'Executive Dashboard'!$H$74:$H$79</f>
            </numRef>
          </val>
        </ser>
        <ser>
          <idx val="1"/>
          <order val="1"/>
          <tx>
            <strRef>
              <f>'Executive Dashboard'!I73</f>
            </strRef>
          </tx>
          <spPr>
            <a:ln>
              <a:prstDash val="solid"/>
            </a:ln>
          </spPr>
          <cat>
            <numRef>
              <f>'Executive Dashboard'!$G$74:$G$79</f>
            </numRef>
          </cat>
          <val>
            <numRef>
              <f>'Executive Dashboard'!$I$74:$I$79</f>
            </numRef>
          </val>
        </ser>
        <ser>
          <idx val="2"/>
          <order val="2"/>
          <tx>
            <strRef>
              <f>'Executive Dashboard'!J73</f>
            </strRef>
          </tx>
          <spPr>
            <a:ln>
              <a:prstDash val="solid"/>
            </a:ln>
          </spPr>
          <cat>
            <numRef>
              <f>'Executive Dashboard'!$G$74:$G$79</f>
            </numRef>
          </cat>
          <val>
            <numRef>
              <f>'Executive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15</row>
      <rowOff>0</rowOff>
    </from>
    <ext cx="540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15</row>
      <rowOff>0</rowOff>
    </from>
    <ext cx="3960000" cy="306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8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36" customHeight="1">
      <c r="A1" s="1" t="inlineStr">
        <is>
          <t>IT OPERATIONS &amp; ITSM ENTERPRISE DASHBOARD</t>
        </is>
      </c>
    </row>
    <row r="2" ht="20" customHeight="1">
      <c r="A2" s="2" t="inlineStr">
        <is>
          <t>User Guide, System Architecture, &amp; Navigation Portal</t>
        </is>
      </c>
    </row>
    <row r="4" ht="24" customHeight="1">
      <c r="A4" s="3" t="inlineStr">
        <is>
          <t>OVERVIEW &amp; PURPOSE</t>
        </is>
      </c>
    </row>
    <row r="5" ht="20" customHeight="1">
      <c r="A5" s="4" t="inlineStr">
        <is>
          <t>Topic / Sheet</t>
        </is>
      </c>
      <c r="B5" s="4" t="inlineStr">
        <is>
          <t>Description / Guidance</t>
        </is>
      </c>
      <c r="C5" s="106" t="n"/>
      <c r="D5" s="106" t="n"/>
      <c r="E5" s="106" t="n"/>
      <c r="F5" s="106" t="n"/>
      <c r="G5" s="107" t="n"/>
    </row>
    <row r="6" ht="22" customHeight="1">
      <c r="A6" s="5" t="inlineStr">
        <is>
          <t>Platform Scope</t>
        </is>
      </c>
      <c r="B6" s="6" t="inlineStr">
        <is>
          <t>Comprehensive IT Management System covering Service Desk, SLA, Asset Tracking, Cloud &amp; On-Prem Costs, System Uptime, Change Management, Disaster Recovery, and PMO.</t>
        </is>
      </c>
      <c r="C6" s="108" t="n"/>
      <c r="D6" s="108" t="n"/>
      <c r="E6" s="108" t="n"/>
      <c r="F6" s="108" t="n"/>
      <c r="G6" s="109" t="n"/>
    </row>
    <row r="7" ht="22" customHeight="1">
      <c r="A7" s="5" t="inlineStr">
        <is>
          <t>Zero Manual Aggregation</t>
        </is>
      </c>
      <c r="B7" s="6" t="inlineStr">
        <is>
          <t>All executive metrics, durations, SLA calculations, and status indicators are fully formula-driven with zero redundant data entry.</t>
        </is>
      </c>
      <c r="C7" s="108" t="n"/>
      <c r="D7" s="108" t="n"/>
      <c r="E7" s="108" t="n"/>
      <c r="F7" s="108" t="n"/>
      <c r="G7" s="109" t="n"/>
    </row>
    <row r="8" ht="22" customHeight="1">
      <c r="A8" s="5" t="inlineStr">
        <is>
          <t>Standards Aligned</t>
        </is>
      </c>
      <c r="B8" s="6" t="inlineStr">
        <is>
          <t>Follows ITIL 4 best practices, ISO 20000 service standards, and COBIT governance frameworks.</t>
        </is>
      </c>
      <c r="C8" s="108" t="n"/>
      <c r="D8" s="108" t="n"/>
      <c r="E8" s="108" t="n"/>
      <c r="F8" s="108" t="n"/>
      <c r="G8" s="109" t="n"/>
    </row>
    <row r="10" ht="24" customHeight="1">
      <c r="A10" s="3" t="inlineStr">
        <is>
          <t>MODULE DIRECTORY</t>
        </is>
      </c>
    </row>
    <row r="11" ht="20" customHeight="1">
      <c r="A11" s="4" t="inlineStr">
        <is>
          <t>Topic / Sheet</t>
        </is>
      </c>
      <c r="B11" s="4" t="inlineStr">
        <is>
          <t>Description / Guidance</t>
        </is>
      </c>
      <c r="C11" s="106" t="n"/>
      <c r="D11" s="106" t="n"/>
      <c r="E11" s="106" t="n"/>
      <c r="F11" s="106" t="n"/>
      <c r="G11" s="107" t="n"/>
    </row>
    <row r="12" ht="22" customHeight="1">
      <c r="A12" s="5" t="inlineStr">
        <is>
          <t>1. Main Executive Dashboard</t>
        </is>
      </c>
      <c r="B12" s="6" t="inlineStr">
        <is>
          <t>High-level CIO/CTO overview with automated KPI cards, monthly ticket volume trends, and ticket category breakdown.</t>
        </is>
      </c>
      <c r="C12" s="108" t="n"/>
      <c r="D12" s="108" t="n"/>
      <c r="E12" s="108" t="n"/>
      <c r="F12" s="108" t="n"/>
      <c r="G12" s="109" t="n"/>
    </row>
    <row r="13" ht="22" customHeight="1">
      <c r="A13" s="5" t="inlineStr">
        <is>
          <t>2. Helpdesk Tickets</t>
        </is>
      </c>
      <c r="B13" s="6" t="inlineStr">
        <is>
          <t>Operational ticketing log with auto-calculated resolution time, SLA targets, and breach flags.</t>
        </is>
      </c>
      <c r="C13" s="108" t="n"/>
      <c r="D13" s="108" t="n"/>
      <c r="E13" s="108" t="n"/>
      <c r="F13" s="108" t="n"/>
      <c r="G13" s="109" t="n"/>
    </row>
    <row r="14" ht="22" customHeight="1">
      <c r="A14" s="5" t="inlineStr">
        <is>
          <t>3. SLA &amp; Agent Performance</t>
        </is>
      </c>
      <c r="B14" s="6" t="inlineStr">
        <is>
          <t>Agent leaderboard measuring resolution rates, first contact resolution (FCR), and CSAT scores.</t>
        </is>
      </c>
      <c r="C14" s="108" t="n"/>
      <c r="D14" s="108" t="n"/>
      <c r="E14" s="108" t="n"/>
      <c r="F14" s="108" t="n"/>
      <c r="G14" s="109" t="n"/>
    </row>
    <row r="15" ht="22" customHeight="1">
      <c r="A15" s="5" t="inlineStr">
        <is>
          <t>4. Change Management (RFC)</t>
        </is>
      </c>
      <c r="B15" s="6" t="inlineStr">
        <is>
          <t>Request for Change evaluation, CAB approval workflows, risk assessment, and change success rate.</t>
        </is>
      </c>
      <c r="C15" s="108" t="n"/>
      <c r="D15" s="108" t="n"/>
      <c r="E15" s="108" t="n"/>
      <c r="F15" s="108" t="n"/>
      <c r="G15" s="109" t="n"/>
    </row>
    <row r="16" ht="22" customHeight="1">
      <c r="A16" s="5" t="inlineStr">
        <is>
          <t>5. Incident &amp; Problem Log</t>
        </is>
      </c>
      <c r="B16" s="6" t="inlineStr">
        <is>
          <t>Major incident register, Root Cause Analysis (RCA), and preventative problem management.</t>
        </is>
      </c>
      <c r="C16" s="108" t="n"/>
      <c r="D16" s="108" t="n"/>
      <c r="E16" s="108" t="n"/>
      <c r="F16" s="108" t="n"/>
      <c r="G16" s="109" t="n"/>
    </row>
    <row r="17" ht="22" customHeight="1">
      <c r="A17" s="5" t="inlineStr">
        <is>
          <t>6. System Uptime</t>
        </is>
      </c>
      <c r="B17" s="6" t="inlineStr">
        <is>
          <t>Core system availability tracking (99.9% target SLA), planned vs unplanned downtime, and SLA compliance.</t>
        </is>
      </c>
      <c r="C17" s="108" t="n"/>
      <c r="D17" s="108" t="n"/>
      <c r="E17" s="108" t="n"/>
      <c r="F17" s="108" t="n"/>
      <c r="G17" s="109" t="n"/>
    </row>
    <row r="18" ht="22" customHeight="1">
      <c r="A18" s="5" t="inlineStr">
        <is>
          <t>7. IT Asset Management</t>
        </is>
      </c>
      <c r="B18" s="6" t="inlineStr">
        <is>
          <t>Hardware lifecycle tracker with automated age calculation and book value depreciation formulas.</t>
        </is>
      </c>
      <c r="C18" s="108" t="n"/>
      <c r="D18" s="108" t="n"/>
      <c r="E18" s="108" t="n"/>
      <c r="F18" s="108" t="n"/>
      <c r="G18" s="109" t="n"/>
    </row>
    <row r="19" ht="22" customHeight="1">
      <c r="A19" s="5" t="inlineStr">
        <is>
          <t>8. Software &amp; Licenses</t>
        </is>
      </c>
      <c r="B19" s="6" t="inlineStr">
        <is>
          <t>Software license compliance, seat utilization, annual spend, and expiration warning counters.</t>
        </is>
      </c>
      <c r="C19" s="108" t="n"/>
      <c r="D19" s="108" t="n"/>
      <c r="E19" s="108" t="n"/>
      <c r="F19" s="108" t="n"/>
      <c r="G19" s="109" t="n"/>
    </row>
    <row r="20" ht="22" customHeight="1">
      <c r="A20" s="5" t="inlineStr">
        <is>
          <t>9. Cloud &amp; Infra Cost</t>
        </is>
      </c>
      <c r="B20" s="6" t="inlineStr">
        <is>
          <t>Monthly cloud (AWS, Azure, GCP) and on-prem budget vs actual spend variance tracking.</t>
        </is>
      </c>
      <c r="C20" s="108" t="n"/>
      <c r="D20" s="108" t="n"/>
      <c r="E20" s="108" t="n"/>
      <c r="F20" s="108" t="n"/>
      <c r="G20" s="109" t="n"/>
    </row>
    <row r="21" ht="22" customHeight="1">
      <c r="A21" s="5" t="inlineStr">
        <is>
          <t>10. Backup &amp; DR</t>
        </is>
      </c>
      <c r="B21" s="6" t="inlineStr">
        <is>
          <t>Backup verification logs, RPO/RTO target tracking, and disaster recovery simulation drills.</t>
        </is>
      </c>
      <c r="C21" s="108" t="n"/>
      <c r="D21" s="108" t="n"/>
      <c r="E21" s="108" t="n"/>
      <c r="F21" s="108" t="n"/>
      <c r="G21" s="109" t="n"/>
    </row>
    <row r="22" ht="22" customHeight="1">
      <c r="A22" s="5" t="inlineStr">
        <is>
          <t>11. IT Project Portfolio</t>
        </is>
      </c>
      <c r="B22" s="6" t="inlineStr">
        <is>
          <t>PMO tracking of strategic IT initiatives, milestone completion, and budget execution.</t>
        </is>
      </c>
      <c r="C22" s="108" t="n"/>
      <c r="D22" s="108" t="n"/>
      <c r="E22" s="108" t="n"/>
      <c r="F22" s="108" t="n"/>
      <c r="G22" s="109" t="n"/>
    </row>
    <row r="23" ht="22" customHeight="1">
      <c r="A23" s="5" t="inlineStr">
        <is>
          <t>12. Vendor &amp; Contracts</t>
        </is>
      </c>
      <c r="B23" s="6" t="inlineStr">
        <is>
          <t>IT supplier governance, contract expiration countdowns, and vendor SLA performance scores.</t>
        </is>
      </c>
      <c r="C23" s="108" t="n"/>
      <c r="D23" s="108" t="n"/>
      <c r="E23" s="108" t="n"/>
      <c r="F23" s="108" t="n"/>
      <c r="G23" s="109" t="n"/>
    </row>
    <row r="24" ht="22" customHeight="1">
      <c r="A24" s="5" t="inlineStr">
        <is>
          <t>13. Strategic IT KPIs</t>
        </is>
      </c>
      <c r="B24" s="6" t="inlineStr">
        <is>
          <t>Consolidated master scorecard mapping performance across 18 enterprise IT metrics.</t>
        </is>
      </c>
      <c r="C24" s="108" t="n"/>
      <c r="D24" s="108" t="n"/>
      <c r="E24" s="108" t="n"/>
      <c r="F24" s="108" t="n"/>
      <c r="G24" s="109" t="n"/>
    </row>
    <row r="26" ht="24" customHeight="1">
      <c r="A26" s="3" t="inlineStr">
        <is>
          <t>STATUS COLOR CODING (RAG CONVENTIONS)</t>
        </is>
      </c>
    </row>
    <row r="27" ht="20" customHeight="1">
      <c r="A27" s="4" t="inlineStr">
        <is>
          <t>Topic / Sheet</t>
        </is>
      </c>
      <c r="B27" s="4" t="inlineStr">
        <is>
          <t>Description / Guidance</t>
        </is>
      </c>
      <c r="C27" s="106" t="n"/>
      <c r="D27" s="106" t="n"/>
      <c r="E27" s="106" t="n"/>
      <c r="F27" s="106" t="n"/>
      <c r="G27" s="107" t="n"/>
    </row>
    <row r="28" ht="22" customHeight="1">
      <c r="A28" s="5" t="inlineStr">
        <is>
          <t>Green / Compliant</t>
        </is>
      </c>
      <c r="B28" s="6" t="inlineStr">
        <is>
          <t>Operational, within SLA, approved, or project on track.</t>
        </is>
      </c>
      <c r="C28" s="108" t="n"/>
      <c r="D28" s="108" t="n"/>
      <c r="E28" s="108" t="n"/>
      <c r="F28" s="108" t="n"/>
      <c r="G28" s="109" t="n"/>
    </row>
    <row r="29" ht="22" customHeight="1">
      <c r="A29" s="5" t="inlineStr">
        <is>
          <t>Amber / Warning</t>
        </is>
      </c>
      <c r="B29" s="6" t="inlineStr">
        <is>
          <t>Impending SLA breach, approaching contract expiry, or under review.</t>
        </is>
      </c>
      <c r="C29" s="108" t="n"/>
      <c r="D29" s="108" t="n"/>
      <c r="E29" s="108" t="n"/>
      <c r="F29" s="108" t="n"/>
      <c r="G29" s="109" t="n"/>
    </row>
    <row r="30" ht="22" customHeight="1">
      <c r="A30" s="5" t="inlineStr">
        <is>
          <t>Red / Critical</t>
        </is>
      </c>
      <c r="B30" s="6" t="inlineStr">
        <is>
          <t>Breached SLA, service outage, failed backup, or severe cost overrun.</t>
        </is>
      </c>
      <c r="C30" s="108" t="n"/>
      <c r="D30" s="108" t="n"/>
      <c r="E30" s="108" t="n"/>
      <c r="F30" s="108" t="n"/>
      <c r="G30" s="109" t="n"/>
    </row>
  </sheetData>
  <mergeCells count="27">
    <mergeCell ref="B14:G14"/>
    <mergeCell ref="B17:G17"/>
    <mergeCell ref="B23:G23"/>
    <mergeCell ref="A4:G4"/>
    <mergeCell ref="B8:G8"/>
    <mergeCell ref="B13:G13"/>
    <mergeCell ref="B29:G29"/>
    <mergeCell ref="A10:G10"/>
    <mergeCell ref="B19:G19"/>
    <mergeCell ref="B28:G28"/>
    <mergeCell ref="B30:G30"/>
    <mergeCell ref="B15:G15"/>
    <mergeCell ref="B6:G6"/>
    <mergeCell ref="B24:G24"/>
    <mergeCell ref="B20:G20"/>
    <mergeCell ref="A1:G1"/>
    <mergeCell ref="B5:G5"/>
    <mergeCell ref="B7:G7"/>
    <mergeCell ref="B16:G16"/>
    <mergeCell ref="B22:G22"/>
    <mergeCell ref="B27:G27"/>
    <mergeCell ref="A26:G26"/>
    <mergeCell ref="A2:G2"/>
    <mergeCell ref="B12:G12"/>
    <mergeCell ref="B18:G18"/>
    <mergeCell ref="B21:G21"/>
    <mergeCell ref="B11:G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26" customWidth="1" min="3" max="3"/>
    <col width="14" customWidth="1" min="4" max="4"/>
    <col width="16" customWidth="1" min="5" max="5"/>
    <col width="24" customWidth="1" min="6" max="6"/>
    <col width="16" customWidth="1" min="7" max="7"/>
    <col width="23" customWidth="1" min="8" max="8"/>
    <col width="12" customWidth="1" min="9" max="9"/>
    <col width="59" customWidth="1" min="10" max="10"/>
    <col width="12" customWidth="1" min="11" max="11"/>
    <col width="12" customWidth="1" min="12" max="12"/>
  </cols>
  <sheetData>
    <row r="1" ht="36" customHeight="1">
      <c r="A1" s="1" t="inlineStr">
        <is>
          <t>IT EXECUTIVE DASHBOARD &amp; OPERATIONS COCKPIT</t>
        </is>
      </c>
    </row>
    <row r="2" ht="20" customHeight="1">
      <c r="A2" s="2" t="inlineStr">
        <is>
          <t>Real-Time IT Performance, Service Health, Asset Allocation &amp; Financial Posture</t>
        </is>
      </c>
    </row>
    <row r="3" ht="10" customHeight="1"/>
    <row r="4">
      <c r="A4" s="138" t="inlineStr">
        <is>
          <t>TOTAL TICKETS LOGGED</t>
        </is>
      </c>
      <c r="B4" s="111" t="n"/>
      <c r="C4" s="112" t="n"/>
      <c r="D4" s="139" t="inlineStr">
        <is>
          <t>SLA COMPLIANCE RATE</t>
        </is>
      </c>
      <c r="E4" s="111" t="n"/>
      <c r="F4" s="112" t="n"/>
      <c r="G4" s="139" t="inlineStr">
        <is>
          <t>SYSTEM AVAILABILITY</t>
        </is>
      </c>
      <c r="H4" s="111" t="n"/>
      <c r="I4" s="112" t="n"/>
      <c r="J4" s="140" t="inlineStr">
        <is>
          <t>USER CSAT SCORE (1-5)</t>
        </is>
      </c>
      <c r="K4" s="111" t="n"/>
      <c r="L4" s="112" t="n"/>
    </row>
    <row r="5">
      <c r="A5" s="141">
        <f>COUNTA('Helpdesk Tickets'!A10:A100)</f>
        <v/>
      </c>
      <c r="C5" s="116" t="n"/>
      <c r="D5" s="142">
        <f>COUNTIF('Helpdesk Tickets'!M10:M100, "Met")/MAX(1, COUNTIF('Helpdesk Tickets'!M10:M100, "Met") + COUNTIF('Helpdesk Tickets'!M10:M100, "Breached"))</f>
        <v/>
      </c>
      <c r="F5" s="116" t="n"/>
      <c r="G5" s="143">
        <f>AVERAGE('System Uptime'!F10:F25)</f>
        <v/>
      </c>
      <c r="I5" s="116" t="n"/>
      <c r="J5" s="144">
        <f>AVERAGE('Helpdesk Tickets'!N10:N100)</f>
        <v/>
      </c>
      <c r="L5" s="116" t="n"/>
    </row>
    <row r="6">
      <c r="A6" s="120" t="inlineStr">
        <is>
          <t>Updated Automatically</t>
        </is>
      </c>
      <c r="B6" s="121" t="n"/>
      <c r="C6" s="122" t="n"/>
      <c r="D6" s="123" t="inlineStr">
        <is>
          <t>Updated Automatically</t>
        </is>
      </c>
      <c r="E6" s="121" t="n"/>
      <c r="F6" s="122" t="n"/>
      <c r="G6" s="123" t="inlineStr">
        <is>
          <t>Updated Automatically</t>
        </is>
      </c>
      <c r="H6" s="121" t="n"/>
      <c r="I6" s="122" t="n"/>
      <c r="J6" s="124" t="inlineStr">
        <is>
          <t>Updated Automatically</t>
        </is>
      </c>
      <c r="K6" s="121" t="n"/>
      <c r="L6" s="122" t="n"/>
    </row>
    <row r="7" ht="10" customHeight="1"/>
    <row r="8">
      <c r="A8" s="145" t="inlineStr">
        <is>
          <t>ACTIVE RFC CHANGES</t>
        </is>
      </c>
      <c r="B8" s="111" t="n"/>
      <c r="C8" s="112" t="n"/>
      <c r="D8" s="138" t="inlineStr">
        <is>
          <t>ACTIVE HARDWARE ASSETS</t>
        </is>
      </c>
      <c r="E8" s="111" t="n"/>
      <c r="F8" s="112" t="n"/>
      <c r="G8" s="146" t="inlineStr">
        <is>
          <t>MONTHLY CLOUD &amp; INFRA SPEND</t>
        </is>
      </c>
      <c r="H8" s="111" t="n"/>
      <c r="I8" s="112" t="n"/>
      <c r="J8" s="138" t="inlineStr">
        <is>
          <t>ACTIVE IT INITIATIVES</t>
        </is>
      </c>
      <c r="K8" s="111" t="n"/>
      <c r="L8" s="112" t="n"/>
    </row>
    <row r="9">
      <c r="A9" s="147">
        <f>COUNTIF('Change Management'!I10:I50, "Approved") + COUNTIF('Change Management'!I10:I50, "Under Review")</f>
        <v/>
      </c>
      <c r="C9" s="116" t="n"/>
      <c r="D9" s="141">
        <f>COUNTIF('IT Asset Management'!O10:O60, "Active")</f>
        <v/>
      </c>
      <c r="F9" s="116" t="n"/>
      <c r="G9" s="148">
        <f>SUM('Cloud &amp; Infra Cost'!C10:C25)</f>
        <v/>
      </c>
      <c r="I9" s="116" t="n"/>
      <c r="J9" s="149">
        <f>COUNTIF('IT Project Portfolio'!K10:K30, "In Progress")</f>
        <v/>
      </c>
      <c r="L9" s="116" t="n"/>
    </row>
    <row r="10">
      <c r="A10" s="130" t="inlineStr">
        <is>
          <t>Updated Automatically</t>
        </is>
      </c>
      <c r="B10" s="121" t="n"/>
      <c r="C10" s="122" t="n"/>
      <c r="D10" s="120" t="inlineStr">
        <is>
          <t>Updated Automatically</t>
        </is>
      </c>
      <c r="E10" s="121" t="n"/>
      <c r="F10" s="122" t="n"/>
      <c r="G10" s="131" t="inlineStr">
        <is>
          <t>Updated Automatically</t>
        </is>
      </c>
      <c r="H10" s="121" t="n"/>
      <c r="I10" s="122" t="n"/>
      <c r="J10" s="120" t="inlineStr">
        <is>
          <t>Updated Automatically</t>
        </is>
      </c>
      <c r="K10" s="121" t="n"/>
      <c r="L10" s="122" t="n"/>
    </row>
    <row r="11" ht="16" customHeight="1"/>
    <row r="12" ht="22" customHeight="1">
      <c r="A12" s="30" t="inlineStr">
        <is>
          <t>MONTHLY TICKET VOLUME &amp; RESOLUTION TREND</t>
        </is>
      </c>
      <c r="H12" s="30" t="inlineStr">
        <is>
          <t>TICKETS BY CATEGORY</t>
        </is>
      </c>
    </row>
    <row r="13" ht="14" customHeight="1">
      <c r="A13" s="31" t="inlineStr">
        <is>
          <t>Metric</t>
        </is>
      </c>
      <c r="B13" s="31" t="inlineStr">
        <is>
          <t>Jan</t>
        </is>
      </c>
      <c r="C13" s="31" t="inlineStr">
        <is>
          <t>Feb</t>
        </is>
      </c>
      <c r="D13" s="31" t="inlineStr">
        <is>
          <t>Mar</t>
        </is>
      </c>
      <c r="E13" s="31" t="inlineStr">
        <is>
          <t>Apr</t>
        </is>
      </c>
      <c r="F13" s="31" t="inlineStr">
        <is>
          <t>May</t>
        </is>
      </c>
      <c r="G13" s="31" t="inlineStr">
        <is>
          <t>Jun</t>
        </is>
      </c>
      <c r="H13" s="31" t="inlineStr">
        <is>
          <t>Category</t>
        </is>
      </c>
      <c r="I13" s="31" t="inlineStr">
        <is>
          <t>Count</t>
        </is>
      </c>
      <c r="J13" s="31" t="inlineStr">
        <is>
          <t>Sep</t>
        </is>
      </c>
      <c r="K13" s="31" t="inlineStr">
        <is>
          <t>Oct</t>
        </is>
      </c>
      <c r="L13" s="31" t="inlineStr">
        <is>
          <t>Nov</t>
        </is>
      </c>
      <c r="M13" s="31" t="inlineStr">
        <is>
          <t>Dec</t>
        </is>
      </c>
    </row>
    <row r="14" ht="14" customHeight="1">
      <c r="A14" s="31" t="inlineStr">
        <is>
          <t>Tickets</t>
        </is>
      </c>
      <c r="B14" s="32" t="n">
        <v>142</v>
      </c>
      <c r="C14" s="32" t="n">
        <v>165</v>
      </c>
      <c r="D14" s="32" t="n">
        <v>150</v>
      </c>
      <c r="E14" s="32" t="n">
        <v>182</v>
      </c>
      <c r="F14" s="32" t="n">
        <v>195</v>
      </c>
      <c r="G14" s="32" t="n">
        <v>210</v>
      </c>
      <c r="H14" s="32" t="inlineStr">
        <is>
          <t>Hardware</t>
        </is>
      </c>
      <c r="I14" s="32" t="n">
        <v>42</v>
      </c>
      <c r="J14" s="32" t="n">
        <v>205</v>
      </c>
      <c r="K14" s="32" t="n">
        <v>220</v>
      </c>
      <c r="L14" s="32" t="n">
        <v>240</v>
      </c>
      <c r="M14" s="32" t="n">
        <v>215</v>
      </c>
    </row>
    <row r="15">
      <c r="H15" s="32" t="inlineStr">
        <is>
          <t>Software</t>
        </is>
      </c>
      <c r="I15" s="32" t="n">
        <v>68</v>
      </c>
    </row>
    <row r="16">
      <c r="H16" s="32" t="inlineStr">
        <is>
          <t>Network</t>
        </is>
      </c>
      <c r="I16" s="32" t="n">
        <v>28</v>
      </c>
    </row>
    <row r="17">
      <c r="H17" s="32" t="inlineStr">
        <is>
          <t>Access &amp; Identity</t>
        </is>
      </c>
      <c r="I17" s="32" t="n">
        <v>35</v>
      </c>
    </row>
    <row r="18">
      <c r="H18" s="32" t="inlineStr">
        <is>
          <t>ERP &amp; Cloud</t>
        </is>
      </c>
      <c r="I18" s="32" t="n">
        <v>25</v>
      </c>
    </row>
    <row r="31" ht="16" customHeight="1"/>
    <row r="32" ht="24" customHeight="1">
      <c r="A32" s="33" t="inlineStr">
        <is>
          <t>IT DOMAIN OPERATIONAL HEALTH &amp; GOVERNANCE SCORECARD</t>
        </is>
      </c>
    </row>
    <row r="33" ht="20" customHeight="1">
      <c r="A33" s="34" t="inlineStr">
        <is>
          <t>IT Function / Domain</t>
        </is>
      </c>
      <c r="B33" s="34" t="inlineStr">
        <is>
          <t>Primary Focus Area</t>
        </is>
      </c>
      <c r="C33" s="34" t="inlineStr">
        <is>
          <t>Key Metric Name</t>
        </is>
      </c>
      <c r="D33" s="34" t="inlineStr">
        <is>
          <t>Target</t>
        </is>
      </c>
      <c r="E33" s="34" t="inlineStr">
        <is>
          <t>Current Status</t>
        </is>
      </c>
      <c r="F33" s="34" t="inlineStr">
        <is>
          <t>Operational Condition</t>
        </is>
      </c>
      <c r="G33" s="34" t="inlineStr">
        <is>
          <t>Health Rating</t>
        </is>
      </c>
    </row>
    <row r="34" ht="20" customHeight="1">
      <c r="A34" s="35" t="inlineStr">
        <is>
          <t>IT Service Desk</t>
        </is>
      </c>
      <c r="B34" s="36" t="inlineStr">
        <is>
          <t>Incident &amp; Request Fulfillment</t>
        </is>
      </c>
      <c r="C34" s="36" t="inlineStr">
        <is>
          <t>SLA Adherence Rate</t>
        </is>
      </c>
      <c r="D34" s="37" t="inlineStr">
        <is>
          <t>&gt;= 95.0%</t>
        </is>
      </c>
      <c r="E34" s="37">
        <f>'Helpdesk Tickets'!B4</f>
        <v/>
      </c>
      <c r="F34" s="36" t="inlineStr">
        <is>
          <t>Normal Operations</t>
        </is>
      </c>
      <c r="G34" s="38" t="inlineStr">
        <is>
          <t>GREEN</t>
        </is>
      </c>
    </row>
    <row r="35" ht="20" customHeight="1">
      <c r="A35" s="35" t="inlineStr">
        <is>
          <t>IT Infrastructure</t>
        </is>
      </c>
      <c r="B35" s="36" t="inlineStr">
        <is>
          <t>Server &amp; Network Uptime</t>
        </is>
      </c>
      <c r="C35" s="36" t="inlineStr">
        <is>
          <t>Core System Availability</t>
        </is>
      </c>
      <c r="D35" s="37" t="inlineStr">
        <is>
          <t>&gt;= 99.90%</t>
        </is>
      </c>
      <c r="E35" s="37">
        <f>'System Uptime'!B3</f>
        <v/>
      </c>
      <c r="F35" s="36" t="inlineStr">
        <is>
          <t>High Availability</t>
        </is>
      </c>
      <c r="G35" s="38" t="inlineStr">
        <is>
          <t>GREEN</t>
        </is>
      </c>
    </row>
    <row r="36" ht="20" customHeight="1">
      <c r="A36" s="35" t="inlineStr">
        <is>
          <t>Change Management</t>
        </is>
      </c>
      <c r="B36" s="36" t="inlineStr">
        <is>
          <t>RFC Authorization &amp; Deployment</t>
        </is>
      </c>
      <c r="C36" s="36" t="inlineStr">
        <is>
          <t>Change Failure Rate</t>
        </is>
      </c>
      <c r="D36" s="37" t="inlineStr">
        <is>
          <t>&lt;= 3.0%</t>
        </is>
      </c>
      <c r="E36" s="37" t="inlineStr">
        <is>
          <t>0.0%</t>
        </is>
      </c>
      <c r="F36" s="36" t="inlineStr">
        <is>
          <t>Low Risk</t>
        </is>
      </c>
      <c r="G36" s="38" t="inlineStr">
        <is>
          <t>GREEN</t>
        </is>
      </c>
    </row>
    <row r="37" ht="20" customHeight="1">
      <c r="A37" s="35" t="inlineStr">
        <is>
          <t>IT Asset Management</t>
        </is>
      </c>
      <c r="B37" s="36" t="inlineStr">
        <is>
          <t>Hardware &amp; Software Governance</t>
        </is>
      </c>
      <c r="C37" s="36" t="inlineStr">
        <is>
          <t>License Compliance %</t>
        </is>
      </c>
      <c r="D37" s="37" t="inlineStr">
        <is>
          <t>100.0%</t>
        </is>
      </c>
      <c r="E37" s="37">
        <f>'Software &amp; Licenses'!B3</f>
        <v/>
      </c>
      <c r="F37" s="36" t="inlineStr">
        <is>
          <t>Compliant</t>
        </is>
      </c>
      <c r="G37" s="38" t="inlineStr">
        <is>
          <t>GREEN</t>
        </is>
      </c>
    </row>
    <row r="38" ht="20" customHeight="1">
      <c r="A38" s="35" t="inlineStr">
        <is>
          <t>Disaster Recovery</t>
        </is>
      </c>
      <c r="B38" s="36" t="inlineStr">
        <is>
          <t>Business Continuity &amp; Backups</t>
        </is>
      </c>
      <c r="C38" s="36" t="inlineStr">
        <is>
          <t>Backup Success Rate</t>
        </is>
      </c>
      <c r="D38" s="37" t="inlineStr">
        <is>
          <t>100.0%</t>
        </is>
      </c>
      <c r="E38" s="37">
        <f>'Backup &amp; DR'!B3</f>
        <v/>
      </c>
      <c r="F38" s="36" t="inlineStr">
        <is>
          <t>All Backups Verified</t>
        </is>
      </c>
      <c r="G38" s="38" t="inlineStr">
        <is>
          <t>GREEN</t>
        </is>
      </c>
    </row>
    <row r="39" ht="20" customHeight="1">
      <c r="A39" s="35" t="inlineStr">
        <is>
          <t>Financial Control</t>
        </is>
      </c>
      <c r="B39" s="36" t="inlineStr">
        <is>
          <t>Cloud &amp; On-Prem Expenditure</t>
        </is>
      </c>
      <c r="C39" s="36" t="inlineStr">
        <is>
          <t>Budget Variance</t>
        </is>
      </c>
      <c r="D39" s="37" t="inlineStr">
        <is>
          <t>&lt;= 0.0%</t>
        </is>
      </c>
      <c r="E39" s="37">
        <f>'Cloud &amp; Infra Cost'!B4</f>
        <v/>
      </c>
      <c r="F39" s="36" t="inlineStr">
        <is>
          <t>Within Allocated Budget</t>
        </is>
      </c>
      <c r="G39" s="38" t="inlineStr">
        <is>
          <t>GREEN</t>
        </is>
      </c>
    </row>
    <row r="40" ht="20" customHeight="1">
      <c r="A40" s="35" t="inlineStr">
        <is>
          <t>IT PMO</t>
        </is>
      </c>
      <c r="B40" s="36" t="inlineStr">
        <is>
          <t>Strategic Project Execution</t>
        </is>
      </c>
      <c r="C40" s="36" t="inlineStr">
        <is>
          <t>On-Time Milestone Rate</t>
        </is>
      </c>
      <c r="D40" s="37" t="inlineStr">
        <is>
          <t>&gt;= 90.0%</t>
        </is>
      </c>
      <c r="E40" s="37" t="inlineStr">
        <is>
          <t>92.5%</t>
        </is>
      </c>
      <c r="F40" s="36" t="inlineStr">
        <is>
          <t>On Schedule</t>
        </is>
      </c>
      <c r="G40" s="38" t="inlineStr">
        <is>
          <t>GREEN</t>
        </is>
      </c>
    </row>
    <row r="48">
      <c r="B48" s="132" t="inlineStr">
        <is>
          <t>Monthly Major Incident Resolution SLA &amp; Change Success (%)</t>
        </is>
      </c>
      <c r="G48" s="132" t="inlineStr">
        <is>
          <t>ITSM &amp; IT Operations (ITIL v4) Maturity Index</t>
        </is>
      </c>
    </row>
    <row r="49">
      <c r="B49" s="133" t="inlineStr">
        <is>
          <t>Month</t>
        </is>
      </c>
      <c r="C49" s="133" t="inlineStr">
        <is>
          <t>Target Change Success %</t>
        </is>
      </c>
      <c r="D49" s="133" t="inlineStr">
        <is>
          <t>Actual Change Success %</t>
        </is>
      </c>
      <c r="E49" s="133" t="inlineStr">
        <is>
          <t>Major Incident MTTR SLA %</t>
        </is>
      </c>
      <c r="G49" s="133" t="inlineStr">
        <is>
          <t>Operational Capability Pillar</t>
        </is>
      </c>
      <c r="H49" s="133" t="inlineStr">
        <is>
          <t>Benchmark</t>
        </is>
      </c>
      <c r="I49" s="133" t="inlineStr">
        <is>
          <t>Current Attainment</t>
        </is>
      </c>
    </row>
    <row r="50">
      <c r="B50" s="134" t="inlineStr">
        <is>
          <t>May</t>
        </is>
      </c>
      <c r="C50" s="135" t="n">
        <v>96</v>
      </c>
      <c r="D50" s="135" t="n">
        <v>96.8</v>
      </c>
      <c r="E50" s="135" t="n">
        <v>88</v>
      </c>
      <c r="G50" s="136" t="inlineStr">
        <is>
          <t>Automated Incident Triage</t>
        </is>
      </c>
      <c r="H50" s="137" t="n">
        <v>4.2</v>
      </c>
      <c r="I50" s="137" t="n">
        <v>4.8</v>
      </c>
    </row>
    <row r="51">
      <c r="B51" s="134" t="inlineStr">
        <is>
          <t>Jun</t>
        </is>
      </c>
      <c r="C51" s="135" t="n">
        <v>97</v>
      </c>
      <c r="D51" s="135" t="n">
        <v>97.59999999999999</v>
      </c>
      <c r="E51" s="135" t="n">
        <v>90.5</v>
      </c>
      <c r="G51" s="136" t="inlineStr">
        <is>
          <t>CAB Change Risk Scoring</t>
        </is>
      </c>
      <c r="H51" s="137" t="n">
        <v>4</v>
      </c>
      <c r="I51" s="137" t="n">
        <v>4.6</v>
      </c>
    </row>
    <row r="52">
      <c r="B52" s="134" t="inlineStr">
        <is>
          <t>Jul</t>
        </is>
      </c>
      <c r="C52" s="135" t="n">
        <v>98</v>
      </c>
      <c r="D52" s="135" t="n">
        <v>98.5</v>
      </c>
      <c r="E52" s="135" t="n">
        <v>93</v>
      </c>
      <c r="G52" s="136" t="inlineStr">
        <is>
          <t>Configuration CMDB Accuracy</t>
        </is>
      </c>
      <c r="H52" s="137" t="n">
        <v>4</v>
      </c>
      <c r="I52" s="137" t="n">
        <v>4.5</v>
      </c>
    </row>
    <row r="53">
      <c r="B53" s="134" t="inlineStr">
        <is>
          <t>Aug</t>
        </is>
      </c>
      <c r="C53" s="135" t="n">
        <v>98</v>
      </c>
      <c r="D53" s="135" t="n">
        <v>98.2</v>
      </c>
      <c r="E53" s="135" t="n">
        <v>92.40000000000001</v>
      </c>
      <c r="G53" s="136" t="inlineStr">
        <is>
          <t>SLA Breach Early Prediction</t>
        </is>
      </c>
      <c r="H53" s="137" t="n">
        <v>4.2</v>
      </c>
      <c r="I53" s="137" t="n">
        <v>4.7</v>
      </c>
    </row>
    <row r="54">
      <c r="B54" s="134" t="inlineStr">
        <is>
          <t>Sep</t>
        </is>
      </c>
      <c r="C54" s="135" t="n">
        <v>98.5</v>
      </c>
      <c r="D54" s="135" t="n">
        <v>99.09999999999999</v>
      </c>
      <c r="E54" s="135" t="n">
        <v>95.8</v>
      </c>
      <c r="G54" s="136" t="inlineStr">
        <is>
          <t>Self-Service Catalog Adoption</t>
        </is>
      </c>
      <c r="H54" s="137" t="n">
        <v>3.8</v>
      </c>
      <c r="I54" s="137" t="n">
        <v>4.3</v>
      </c>
    </row>
    <row r="55">
      <c r="B55" s="134" t="inlineStr">
        <is>
          <t>Oct</t>
        </is>
      </c>
      <c r="C55" s="135" t="n">
        <v>99</v>
      </c>
      <c r="D55" s="135" t="n">
        <v>99.59999999999999</v>
      </c>
      <c r="E55" s="135" t="n">
        <v>98.40000000000001</v>
      </c>
      <c r="G55" s="136" t="inlineStr">
        <is>
          <t>Problem Root Cause Analysis</t>
        </is>
      </c>
      <c r="H55" s="137" t="n">
        <v>4</v>
      </c>
      <c r="I55" s="137" t="n">
        <v>4.5</v>
      </c>
    </row>
    <row r="72">
      <c r="B72" s="132" t="inlineStr">
        <is>
          <t>Monthly IT Incident Ticket Resolution by Priority Tier</t>
        </is>
      </c>
      <c r="G72" s="132" t="inlineStr">
        <is>
          <t>Major Incident MTTR (Minutes) vs Business Financial Impact ($k)</t>
        </is>
      </c>
    </row>
    <row r="73">
      <c r="B73" s="133" t="inlineStr">
        <is>
          <t>Month</t>
        </is>
      </c>
      <c r="C73" s="133" t="inlineStr">
        <is>
          <t>P1 Critical</t>
        </is>
      </c>
      <c r="D73" s="133" t="inlineStr">
        <is>
          <t>P2 High</t>
        </is>
      </c>
      <c r="E73" s="133" t="inlineStr">
        <is>
          <t>P3 Medium</t>
        </is>
      </c>
      <c r="F73" s="133" t="inlineStr">
        <is>
          <t>P4 Low</t>
        </is>
      </c>
      <c r="G73" s="133" t="inlineStr">
        <is>
          <t>Outage Event</t>
        </is>
      </c>
      <c r="H73" s="133" t="inlineStr">
        <is>
          <t>MTTR (Min)</t>
        </is>
      </c>
      <c r="I73" s="133" t="inlineStr">
        <is>
          <t>Financial Impact ($k)</t>
        </is>
      </c>
      <c r="J73" s="133" t="inlineStr">
        <is>
          <t>Affected Users (k)</t>
        </is>
      </c>
    </row>
    <row r="74">
      <c r="B74" s="136" t="inlineStr">
        <is>
          <t>May</t>
        </is>
      </c>
      <c r="C74" s="150" t="n">
        <v>14</v>
      </c>
      <c r="D74" s="150" t="n">
        <v>48</v>
      </c>
      <c r="E74" s="150" t="n">
        <v>280</v>
      </c>
      <c r="F74" s="150" t="n">
        <v>850</v>
      </c>
      <c r="G74" s="136" t="inlineStr">
        <is>
          <t>WAN Provider Drop</t>
        </is>
      </c>
      <c r="H74" s="151" t="n">
        <v>45</v>
      </c>
      <c r="I74" s="151" t="n">
        <v>85</v>
      </c>
      <c r="J74" s="151" t="n">
        <v>12</v>
      </c>
    </row>
    <row r="75">
      <c r="B75" s="136" t="inlineStr">
        <is>
          <t>Jun</t>
        </is>
      </c>
      <c r="C75" s="150" t="n">
        <v>11</v>
      </c>
      <c r="D75" s="150" t="n">
        <v>42</v>
      </c>
      <c r="E75" s="150" t="n">
        <v>260</v>
      </c>
      <c r="F75" s="150" t="n">
        <v>820</v>
      </c>
      <c r="G75" s="136" t="inlineStr">
        <is>
          <t>Payment Gateway Timeout</t>
        </is>
      </c>
      <c r="H75" s="151" t="n">
        <v>22</v>
      </c>
      <c r="I75" s="151" t="n">
        <v>140</v>
      </c>
      <c r="J75" s="151" t="n">
        <v>24</v>
      </c>
    </row>
    <row r="76">
      <c r="B76" s="136" t="inlineStr">
        <is>
          <t>Jul</t>
        </is>
      </c>
      <c r="C76" s="150" t="n">
        <v>8</v>
      </c>
      <c r="D76" s="150" t="n">
        <v>35</v>
      </c>
      <c r="E76" s="150" t="n">
        <v>230</v>
      </c>
      <c r="F76" s="150" t="n">
        <v>780</v>
      </c>
      <c r="G76" s="136" t="inlineStr">
        <is>
          <t>Active Directory Kerberos</t>
        </is>
      </c>
      <c r="H76" s="151" t="n">
        <v>35</v>
      </c>
      <c r="I76" s="151" t="n">
        <v>60</v>
      </c>
      <c r="J76" s="151" t="n">
        <v>8.5</v>
      </c>
    </row>
    <row r="77">
      <c r="B77" s="136" t="inlineStr">
        <is>
          <t>Aug</t>
        </is>
      </c>
      <c r="C77" s="150" t="n">
        <v>9</v>
      </c>
      <c r="D77" s="150" t="n">
        <v>36</v>
      </c>
      <c r="E77" s="150" t="n">
        <v>235</v>
      </c>
      <c r="F77" s="150" t="n">
        <v>790</v>
      </c>
      <c r="G77" s="136" t="inlineStr">
        <is>
          <t>Storage SAN Degradation</t>
        </is>
      </c>
      <c r="H77" s="151" t="n">
        <v>65</v>
      </c>
      <c r="I77" s="151" t="n">
        <v>110</v>
      </c>
      <c r="J77" s="151" t="n">
        <v>15</v>
      </c>
    </row>
    <row r="78">
      <c r="B78" s="136" t="inlineStr">
        <is>
          <t>Sep</t>
        </is>
      </c>
      <c r="C78" s="150" t="n">
        <v>6</v>
      </c>
      <c r="D78" s="150" t="n">
        <v>28</v>
      </c>
      <c r="E78" s="150" t="n">
        <v>195</v>
      </c>
      <c r="F78" s="150" t="n">
        <v>720</v>
      </c>
      <c r="G78" s="136" t="inlineStr">
        <is>
          <t>Email Exchange Relay</t>
        </is>
      </c>
      <c r="H78" s="151" t="n">
        <v>18</v>
      </c>
      <c r="I78" s="151" t="n">
        <v>25</v>
      </c>
      <c r="J78" s="151" t="n">
        <v>18</v>
      </c>
    </row>
    <row r="79">
      <c r="B79" s="136" t="inlineStr">
        <is>
          <t>Oct</t>
        </is>
      </c>
      <c r="C79" s="150" t="n">
        <v>3</v>
      </c>
      <c r="D79" s="150" t="n">
        <v>19</v>
      </c>
      <c r="E79" s="150" t="n">
        <v>160</v>
      </c>
      <c r="F79" s="150" t="n">
        <v>650</v>
      </c>
      <c r="G79" s="136" t="inlineStr">
        <is>
          <t>Customer Portal CDN</t>
        </is>
      </c>
      <c r="H79" s="151" t="n">
        <v>12</v>
      </c>
      <c r="I79" s="151" t="n">
        <v>35</v>
      </c>
      <c r="J79" s="151" t="n">
        <v>40</v>
      </c>
    </row>
  </sheetData>
  <mergeCells count="29">
    <mergeCell ref="J6:L6"/>
    <mergeCell ref="G10:I10"/>
    <mergeCell ref="G6:I6"/>
    <mergeCell ref="J4:L4"/>
    <mergeCell ref="A1:N1"/>
    <mergeCell ref="A5:C5"/>
    <mergeCell ref="G5:I5"/>
    <mergeCell ref="A8:C8"/>
    <mergeCell ref="D4:F4"/>
    <mergeCell ref="A32:L32"/>
    <mergeCell ref="G4:I4"/>
    <mergeCell ref="D9:F9"/>
    <mergeCell ref="D8:F8"/>
    <mergeCell ref="A4:C4"/>
    <mergeCell ref="A10:C10"/>
    <mergeCell ref="D5:F5"/>
    <mergeCell ref="A2:N2"/>
    <mergeCell ref="A9:C9"/>
    <mergeCell ref="G9:I9"/>
    <mergeCell ref="J8:L8"/>
    <mergeCell ref="D10:F10"/>
    <mergeCell ref="J5:L5"/>
    <mergeCell ref="J10:L10"/>
    <mergeCell ref="H12:L12"/>
    <mergeCell ref="A6:C6"/>
    <mergeCell ref="A12:G12"/>
    <mergeCell ref="G8:I8"/>
    <mergeCell ref="J9:L9"/>
    <mergeCell ref="D6:F6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9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6" customWidth="1" min="4" max="4"/>
    <col width="18" customWidth="1" min="5" max="5"/>
    <col width="44" customWidth="1" min="6" max="6"/>
    <col width="12" customWidth="1" min="7" max="7"/>
    <col width="18" customWidth="1" min="8" max="8"/>
    <col width="14" customWidth="1" min="9" max="9"/>
    <col width="18" customWidth="1" min="10" max="10"/>
    <col width="16" customWidth="1" min="11" max="11"/>
    <col width="16" customWidth="1" min="12" max="12"/>
    <col width="14" customWidth="1" min="13" max="13"/>
    <col width="12" customWidth="1" min="14" max="14"/>
  </cols>
  <sheetData>
    <row r="1" ht="36" customHeight="1">
      <c r="A1" s="1" t="inlineStr">
        <is>
          <t>IT HELPDESK &amp; SERVICE REQUEST LOG</t>
        </is>
      </c>
    </row>
    <row r="2" ht="20" customHeight="1">
      <c r="A2" s="2" t="inlineStr">
        <is>
          <t>Operational Ticketing Registry with Dynamic SLA Tracking &amp; Escalation Flagging</t>
        </is>
      </c>
    </row>
    <row r="3" ht="20" customHeight="1">
      <c r="A3" s="39" t="inlineStr">
        <is>
          <t>TOTAL TICKETS:</t>
        </is>
      </c>
      <c r="C3" s="40">
        <f>COUNTA(A10:A100)</f>
        <v/>
      </c>
      <c r="D3" s="39" t="inlineStr">
        <is>
          <t>SLA COMPLIANCE:</t>
        </is>
      </c>
      <c r="F3" s="41">
        <f>COUNTIF(M10:M100, "Met")/MAX(1, COUNTIF(M10:M100, "Met")+COUNTIF(M10:M100, "Breached"))</f>
        <v/>
      </c>
      <c r="G3" s="39" t="inlineStr">
        <is>
          <t>AVG RESOLUTION (HRS):</t>
        </is>
      </c>
      <c r="I3" s="42">
        <f>AVERAGEIF(K10:K100, "&gt;0", K10:K100)</f>
        <v/>
      </c>
      <c r="J3" s="39" t="inlineStr">
        <is>
          <t>AVG CSAT SCORE:</t>
        </is>
      </c>
      <c r="L3" s="43">
        <f>AVERAGE(N10:N100)</f>
        <v/>
      </c>
    </row>
    <row r="4" ht="20" customHeight="1">
      <c r="A4" s="31" t="inlineStr">
        <is>
          <t>SLA Met:</t>
        </is>
      </c>
      <c r="B4" s="44">
        <f>COUNTIF(M10:M100, "Met")</f>
        <v/>
      </c>
      <c r="D4" s="31" t="inlineStr">
        <is>
          <t>SLA Breached:</t>
        </is>
      </c>
      <c r="E4" s="45">
        <f>COUNTIF(M10:M100, "Breached")</f>
        <v/>
      </c>
      <c r="G4" s="31" t="inlineStr">
        <is>
          <t>Open Tickets:</t>
        </is>
      </c>
      <c r="H4" s="46">
        <f>COUNTIF(I10:I100, "Open") + COUNTIF(I10:I100, "In Progress")</f>
        <v/>
      </c>
      <c r="J4" s="31" t="inlineStr">
        <is>
          <t>Closed/Resolved:</t>
        </is>
      </c>
      <c r="K4" s="44">
        <f>COUNTIF(I10:I100, "Resolved") + COUNTIF(I10:I100, "Closed")</f>
        <v/>
      </c>
    </row>
    <row r="9" ht="26" customHeight="1">
      <c r="A9" s="47" t="inlineStr">
        <is>
          <t>Ticket ID</t>
        </is>
      </c>
      <c r="B9" s="47" t="inlineStr">
        <is>
          <t>Created Date</t>
        </is>
      </c>
      <c r="C9" s="47" t="inlineStr">
        <is>
          <t>Requester</t>
        </is>
      </c>
      <c r="D9" s="47" t="inlineStr">
        <is>
          <t>Department</t>
        </is>
      </c>
      <c r="E9" s="47" t="inlineStr">
        <is>
          <t>Category</t>
        </is>
      </c>
      <c r="F9" s="47" t="inlineStr">
        <is>
          <t>Issue Description</t>
        </is>
      </c>
      <c r="G9" s="47" t="inlineStr">
        <is>
          <t>Priority</t>
        </is>
      </c>
      <c r="H9" s="47" t="inlineStr">
        <is>
          <t>Assigned Agent</t>
        </is>
      </c>
      <c r="I9" s="47" t="inlineStr">
        <is>
          <t>Status</t>
        </is>
      </c>
      <c r="J9" s="47" t="inlineStr">
        <is>
          <t>Resolved Date</t>
        </is>
      </c>
      <c r="K9" s="47" t="inlineStr">
        <is>
          <t>Resolution (Hrs)</t>
        </is>
      </c>
      <c r="L9" s="47" t="inlineStr">
        <is>
          <t>Target SLA (Hrs)</t>
        </is>
      </c>
      <c r="M9" s="47" t="inlineStr">
        <is>
          <t>SLA Status</t>
        </is>
      </c>
      <c r="N9" s="47" t="inlineStr">
        <is>
          <t>CSAT (1-5)</t>
        </is>
      </c>
    </row>
    <row r="10" ht="20" customHeight="1">
      <c r="A10" s="48" t="inlineStr">
        <is>
          <t>INC-2026-001</t>
        </is>
      </c>
      <c r="B10" s="49" t="inlineStr">
        <is>
          <t>2026-03-01 08:30</t>
        </is>
      </c>
      <c r="C10" s="49" t="inlineStr">
        <is>
          <t>Budi Santoso</t>
        </is>
      </c>
      <c r="D10" s="49" t="inlineStr">
        <is>
          <t>Finance</t>
        </is>
      </c>
      <c r="E10" s="49" t="inlineStr">
        <is>
          <t>Hardware</t>
        </is>
      </c>
      <c r="F10" s="49" t="inlineStr">
        <is>
          <t>Laptop battery swelling and overheating</t>
        </is>
      </c>
      <c r="G10" s="50" t="inlineStr">
        <is>
          <t>High</t>
        </is>
      </c>
      <c r="H10" s="49" t="inlineStr">
        <is>
          <t>Alex Kurniawan</t>
        </is>
      </c>
      <c r="I10" s="51" t="inlineStr">
        <is>
          <t>Resolved</t>
        </is>
      </c>
      <c r="J10" s="49" t="inlineStr">
        <is>
          <t>2026-03-01 14:15</t>
        </is>
      </c>
      <c r="K10" s="52">
        <f>IF(J10="",0,ROUND((DATEVALUE(LEFT(J10,10))+TIMEVALUE(RIGHT(J10,5))-(DATEVALUE(LEFT(B10,10))+TIMEVALUE(RIGHT(B10,5))))*24,1))</f>
        <v/>
      </c>
      <c r="L10" s="53">
        <f>IF(G10="Critical",4,IF(G10="High",8,IF(G10="Medium",24,72)))</f>
        <v/>
      </c>
      <c r="M10" s="54">
        <f>IF(OR(I10="Resolved",I10="Closed"),IF(K10&lt;=L10,"Met","Breached"),"Pending")</f>
        <v/>
      </c>
      <c r="N10" s="55" t="n">
        <v>5</v>
      </c>
    </row>
    <row r="11" ht="20" customHeight="1">
      <c r="A11" s="48" t="inlineStr">
        <is>
          <t>REQ-2026-002</t>
        </is>
      </c>
      <c r="B11" s="49" t="inlineStr">
        <is>
          <t>2026-03-01 09:15</t>
        </is>
      </c>
      <c r="C11" s="49" t="inlineStr">
        <is>
          <t>Dewi Lestari</t>
        </is>
      </c>
      <c r="D11" s="49" t="inlineStr">
        <is>
          <t>HR</t>
        </is>
      </c>
      <c r="E11" s="49" t="inlineStr">
        <is>
          <t>Access &amp; Identity</t>
        </is>
      </c>
      <c r="F11" s="49" t="inlineStr">
        <is>
          <t>New employee SAP &amp; Slack provisioning</t>
        </is>
      </c>
      <c r="G11" s="56" t="inlineStr">
        <is>
          <t>Medium</t>
        </is>
      </c>
      <c r="H11" s="49" t="inlineStr">
        <is>
          <t>Siti Rahma</t>
        </is>
      </c>
      <c r="I11" s="51" t="inlineStr">
        <is>
          <t>Closed</t>
        </is>
      </c>
      <c r="J11" s="49" t="inlineStr">
        <is>
          <t>2026-03-02 09:00</t>
        </is>
      </c>
      <c r="K11" s="52">
        <f>IF(J11="",0,ROUND((DATEVALUE(LEFT(J11,10))+TIMEVALUE(RIGHT(J11,5))-(DATEVALUE(LEFT(B11,10))+TIMEVALUE(RIGHT(B11,5))))*24,1))</f>
        <v/>
      </c>
      <c r="L11" s="53">
        <f>IF(G11="Critical",4,IF(G11="High",8,IF(G11="Medium",24,72)))</f>
        <v/>
      </c>
      <c r="M11" s="54">
        <f>IF(OR(I11="Resolved",I11="Closed"),IF(K11&lt;=L11,"Met","Breached"),"Pending")</f>
        <v/>
      </c>
      <c r="N11" s="55" t="n">
        <v>5</v>
      </c>
    </row>
    <row r="12" ht="20" customHeight="1">
      <c r="A12" s="48" t="inlineStr">
        <is>
          <t>INC-2026-003</t>
        </is>
      </c>
      <c r="B12" s="49" t="inlineStr">
        <is>
          <t>2026-03-01 10:00</t>
        </is>
      </c>
      <c r="C12" s="49" t="inlineStr">
        <is>
          <t>Ahmad Fauzi</t>
        </is>
      </c>
      <c r="D12" s="49" t="inlineStr">
        <is>
          <t>Sales</t>
        </is>
      </c>
      <c r="E12" s="49" t="inlineStr">
        <is>
          <t>Network</t>
        </is>
      </c>
      <c r="F12" s="49" t="inlineStr">
        <is>
          <t>Floor 4 Wi-Fi AP disconnecting intermittently</t>
        </is>
      </c>
      <c r="G12" s="50" t="inlineStr">
        <is>
          <t>High</t>
        </is>
      </c>
      <c r="H12" s="49" t="inlineStr">
        <is>
          <t>Rian Pratama</t>
        </is>
      </c>
      <c r="I12" s="51" t="inlineStr">
        <is>
          <t>Resolved</t>
        </is>
      </c>
      <c r="J12" s="49" t="inlineStr">
        <is>
          <t>2026-03-01 15:30</t>
        </is>
      </c>
      <c r="K12" s="52">
        <f>IF(J12="",0,ROUND((DATEVALUE(LEFT(J12,10))+TIMEVALUE(RIGHT(J12,5))-(DATEVALUE(LEFT(B12,10))+TIMEVALUE(RIGHT(B12,5))))*24,1))</f>
        <v/>
      </c>
      <c r="L12" s="53">
        <f>IF(G12="Critical",4,IF(G12="High",8,IF(G12="Medium",24,72)))</f>
        <v/>
      </c>
      <c r="M12" s="54">
        <f>IF(OR(I12="Resolved",I12="Closed"),IF(K12&lt;=L12,"Met","Breached"),"Pending")</f>
        <v/>
      </c>
      <c r="N12" s="55" t="n">
        <v>4</v>
      </c>
    </row>
    <row r="13" ht="20" customHeight="1">
      <c r="A13" s="48" t="inlineStr">
        <is>
          <t>INC-2026-004</t>
        </is>
      </c>
      <c r="B13" s="49" t="inlineStr">
        <is>
          <t>2026-03-02 08:00</t>
        </is>
      </c>
      <c r="C13" s="49" t="inlineStr">
        <is>
          <t>Citra Kirana</t>
        </is>
      </c>
      <c r="D13" s="49" t="inlineStr">
        <is>
          <t>Marketing</t>
        </is>
      </c>
      <c r="E13" s="49" t="inlineStr">
        <is>
          <t>Software</t>
        </is>
      </c>
      <c r="F13" s="49" t="inlineStr">
        <is>
          <t>Adobe Photoshop license activation failed</t>
        </is>
      </c>
      <c r="G13" s="56" t="inlineStr">
        <is>
          <t>Low</t>
        </is>
      </c>
      <c r="H13" s="49" t="inlineStr">
        <is>
          <t>Kevin Sanjaya</t>
        </is>
      </c>
      <c r="I13" s="51" t="inlineStr">
        <is>
          <t>Resolved</t>
        </is>
      </c>
      <c r="J13" s="49" t="inlineStr">
        <is>
          <t>2026-03-03 11:00</t>
        </is>
      </c>
      <c r="K13" s="52">
        <f>IF(J13="",0,ROUND((DATEVALUE(LEFT(J13,10))+TIMEVALUE(RIGHT(J13,5))-(DATEVALUE(LEFT(B13,10))+TIMEVALUE(RIGHT(B13,5))))*24,1))</f>
        <v/>
      </c>
      <c r="L13" s="53">
        <f>IF(G13="Critical",4,IF(G13="High",8,IF(G13="Medium",24,72)))</f>
        <v/>
      </c>
      <c r="M13" s="54">
        <f>IF(OR(I13="Resolved",I13="Closed"),IF(K13&lt;=L13,"Met","Breached"),"Pending")</f>
        <v/>
      </c>
      <c r="N13" s="55" t="n">
        <v>4</v>
      </c>
    </row>
    <row r="14" ht="20" customHeight="1">
      <c r="A14" s="48" t="inlineStr">
        <is>
          <t>INC-2026-005</t>
        </is>
      </c>
      <c r="B14" s="49" t="inlineStr">
        <is>
          <t>2026-03-02 11:20</t>
        </is>
      </c>
      <c r="C14" s="49" t="inlineStr">
        <is>
          <t>Eko Prasetyo</t>
        </is>
      </c>
      <c r="D14" s="49" t="inlineStr">
        <is>
          <t>Finance</t>
        </is>
      </c>
      <c r="E14" s="49" t="inlineStr">
        <is>
          <t>ERP &amp; Cloud</t>
        </is>
      </c>
      <c r="F14" s="49" t="inlineStr">
        <is>
          <t>ERP transaction posting database timeout</t>
        </is>
      </c>
      <c r="G14" s="57" t="inlineStr">
        <is>
          <t>Critical</t>
        </is>
      </c>
      <c r="H14" s="49" t="inlineStr">
        <is>
          <t>Alex Kurniawan</t>
        </is>
      </c>
      <c r="I14" s="51" t="inlineStr">
        <is>
          <t>Resolved</t>
        </is>
      </c>
      <c r="J14" s="49" t="inlineStr">
        <is>
          <t>2026-03-02 13:50</t>
        </is>
      </c>
      <c r="K14" s="52">
        <f>IF(J14="",0,ROUND((DATEVALUE(LEFT(J14,10))+TIMEVALUE(RIGHT(J14,5))-(DATEVALUE(LEFT(B14,10))+TIMEVALUE(RIGHT(B14,5))))*24,1))</f>
        <v/>
      </c>
      <c r="L14" s="53">
        <f>IF(G14="Critical",4,IF(G14="High",8,IF(G14="Medium",24,72)))</f>
        <v/>
      </c>
      <c r="M14" s="54">
        <f>IF(OR(I14="Resolved",I14="Closed"),IF(K14&lt;=L14,"Met","Breached"),"Pending")</f>
        <v/>
      </c>
      <c r="N14" s="55" t="n">
        <v>5</v>
      </c>
    </row>
    <row r="15" ht="20" customHeight="1">
      <c r="A15" s="48" t="inlineStr">
        <is>
          <t>REQ-2026-006</t>
        </is>
      </c>
      <c r="B15" s="49" t="inlineStr">
        <is>
          <t>2026-03-03 09:45</t>
        </is>
      </c>
      <c r="C15" s="49" t="inlineStr">
        <is>
          <t>Fani Indah</t>
        </is>
      </c>
      <c r="D15" s="49" t="inlineStr">
        <is>
          <t>Legal</t>
        </is>
      </c>
      <c r="E15" s="49" t="inlineStr">
        <is>
          <t>Hardware</t>
        </is>
      </c>
      <c r="F15" s="49" t="inlineStr">
        <is>
          <t>Request for secondary monitor and docking station</t>
        </is>
      </c>
      <c r="G15" s="56" t="inlineStr">
        <is>
          <t>Low</t>
        </is>
      </c>
      <c r="H15" s="49" t="inlineStr">
        <is>
          <t>Kevin Sanjaya</t>
        </is>
      </c>
      <c r="I15" s="51" t="inlineStr">
        <is>
          <t>Closed</t>
        </is>
      </c>
      <c r="J15" s="49" t="inlineStr">
        <is>
          <t>2026-03-04 16:00</t>
        </is>
      </c>
      <c r="K15" s="52">
        <f>IF(J15="",0,ROUND((DATEVALUE(LEFT(J15,10))+TIMEVALUE(RIGHT(J15,5))-(DATEVALUE(LEFT(B15,10))+TIMEVALUE(RIGHT(B15,5))))*24,1))</f>
        <v/>
      </c>
      <c r="L15" s="53">
        <f>IF(G15="Critical",4,IF(G15="High",8,IF(G15="Medium",24,72)))</f>
        <v/>
      </c>
      <c r="M15" s="54">
        <f>IF(OR(I15="Resolved",I15="Closed"),IF(K15&lt;=L15,"Met","Breached"),"Pending")</f>
        <v/>
      </c>
      <c r="N15" s="55" t="n">
        <v>5</v>
      </c>
    </row>
    <row r="16" ht="20" customHeight="1">
      <c r="A16" s="48" t="inlineStr">
        <is>
          <t>INC-2026-007</t>
        </is>
      </c>
      <c r="B16" s="49" t="inlineStr">
        <is>
          <t>2026-03-03 14:10</t>
        </is>
      </c>
      <c r="C16" s="49" t="inlineStr">
        <is>
          <t>Gilang Ramadhan</t>
        </is>
      </c>
      <c r="D16" s="49" t="inlineStr">
        <is>
          <t>Engineering</t>
        </is>
      </c>
      <c r="E16" s="49" t="inlineStr">
        <is>
          <t>Network</t>
        </is>
      </c>
      <c r="F16" s="49" t="inlineStr">
        <is>
          <t>VPN gateway authenticating but dropping packets</t>
        </is>
      </c>
      <c r="G16" s="50" t="inlineStr">
        <is>
          <t>High</t>
        </is>
      </c>
      <c r="H16" s="49" t="inlineStr">
        <is>
          <t>Rian Pratama</t>
        </is>
      </c>
      <c r="I16" s="51" t="inlineStr">
        <is>
          <t>Resolved</t>
        </is>
      </c>
      <c r="J16" s="49" t="inlineStr">
        <is>
          <t>2026-03-03 19:40</t>
        </is>
      </c>
      <c r="K16" s="52">
        <f>IF(J16="",0,ROUND((DATEVALUE(LEFT(J16,10))+TIMEVALUE(RIGHT(J16,5))-(DATEVALUE(LEFT(B16,10))+TIMEVALUE(RIGHT(B16,5))))*24,1))</f>
        <v/>
      </c>
      <c r="L16" s="53">
        <f>IF(G16="Critical",4,IF(G16="High",8,IF(G16="Medium",24,72)))</f>
        <v/>
      </c>
      <c r="M16" s="54">
        <f>IF(OR(I16="Resolved",I16="Closed"),IF(K16&lt;=L16,"Met","Breached"),"Pending")</f>
        <v/>
      </c>
      <c r="N16" s="55" t="n">
        <v>4</v>
      </c>
    </row>
    <row r="17" ht="20" customHeight="1">
      <c r="A17" s="48" t="inlineStr">
        <is>
          <t>INC-2026-008</t>
        </is>
      </c>
      <c r="B17" s="49" t="inlineStr">
        <is>
          <t>2026-03-04 08:40</t>
        </is>
      </c>
      <c r="C17" s="49" t="inlineStr">
        <is>
          <t>Hana Pertiwi</t>
        </is>
      </c>
      <c r="D17" s="49" t="inlineStr">
        <is>
          <t>Customer Service</t>
        </is>
      </c>
      <c r="E17" s="49" t="inlineStr">
        <is>
          <t>Software</t>
        </is>
      </c>
      <c r="F17" s="49" t="inlineStr">
        <is>
          <t>Zendesk softphone plugin crash on Chrome</t>
        </is>
      </c>
      <c r="G17" s="56" t="inlineStr">
        <is>
          <t>Medium</t>
        </is>
      </c>
      <c r="H17" s="49" t="inlineStr">
        <is>
          <t>Siti Rahma</t>
        </is>
      </c>
      <c r="I17" s="51" t="inlineStr">
        <is>
          <t>Resolved</t>
        </is>
      </c>
      <c r="J17" s="49" t="inlineStr">
        <is>
          <t>2026-03-04 17:10</t>
        </is>
      </c>
      <c r="K17" s="52">
        <f>IF(J17="",0,ROUND((DATEVALUE(LEFT(J17,10))+TIMEVALUE(RIGHT(J17,5))-(DATEVALUE(LEFT(B17,10))+TIMEVALUE(RIGHT(B17,5))))*24,1))</f>
        <v/>
      </c>
      <c r="L17" s="53">
        <f>IF(G17="Critical",4,IF(G17="High",8,IF(G17="Medium",24,72)))</f>
        <v/>
      </c>
      <c r="M17" s="54">
        <f>IF(OR(I17="Resolved",I17="Closed"),IF(K17&lt;=L17,"Met","Breached"),"Pending")</f>
        <v/>
      </c>
      <c r="N17" s="55" t="n">
        <v>4</v>
      </c>
    </row>
    <row r="18" ht="20" customHeight="1">
      <c r="A18" s="48" t="inlineStr">
        <is>
          <t>INC-2026-009</t>
        </is>
      </c>
      <c r="B18" s="49" t="inlineStr">
        <is>
          <t>2026-03-04 13:00</t>
        </is>
      </c>
      <c r="C18" s="49" t="inlineStr">
        <is>
          <t>Indra Wijaya</t>
        </is>
      </c>
      <c r="D18" s="49" t="inlineStr">
        <is>
          <t>Operations</t>
        </is>
      </c>
      <c r="E18" s="49" t="inlineStr">
        <is>
          <t>Hardware</t>
        </is>
      </c>
      <c r="F18" s="49" t="inlineStr">
        <is>
          <t>Warehouse Zebra barcode printer offline</t>
        </is>
      </c>
      <c r="G18" s="56" t="inlineStr">
        <is>
          <t>Medium</t>
        </is>
      </c>
      <c r="H18" s="49" t="inlineStr">
        <is>
          <t>Kevin Sanjaya</t>
        </is>
      </c>
      <c r="I18" s="51" t="inlineStr">
        <is>
          <t>Resolved</t>
        </is>
      </c>
      <c r="J18" s="49" t="inlineStr">
        <is>
          <t>2026-03-05 10:30</t>
        </is>
      </c>
      <c r="K18" s="52">
        <f>IF(J18="",0,ROUND((DATEVALUE(LEFT(J18,10))+TIMEVALUE(RIGHT(J18,5))-(DATEVALUE(LEFT(B18,10))+TIMEVALUE(RIGHT(B18,5))))*24,1))</f>
        <v/>
      </c>
      <c r="L18" s="53">
        <f>IF(G18="Critical",4,IF(G18="High",8,IF(G18="Medium",24,72)))</f>
        <v/>
      </c>
      <c r="M18" s="54">
        <f>IF(OR(I18="Resolved",I18="Closed"),IF(K18&lt;=L18,"Met","Breached"),"Pending")</f>
        <v/>
      </c>
      <c r="N18" s="55" t="n">
        <v>4</v>
      </c>
    </row>
    <row r="19" ht="20" customHeight="1">
      <c r="A19" s="48" t="inlineStr">
        <is>
          <t>INC-2026-010</t>
        </is>
      </c>
      <c r="B19" s="49" t="inlineStr">
        <is>
          <t>2026-03-05 10:15</t>
        </is>
      </c>
      <c r="C19" s="49" t="inlineStr">
        <is>
          <t>Joko Widodo</t>
        </is>
      </c>
      <c r="D19" s="49" t="inlineStr">
        <is>
          <t>Executive Office</t>
        </is>
      </c>
      <c r="E19" s="49" t="inlineStr">
        <is>
          <t>Hardware</t>
        </is>
      </c>
      <c r="F19" s="49" t="inlineStr">
        <is>
          <t>Meeting room Zoom Room display black screen</t>
        </is>
      </c>
      <c r="G19" s="50" t="inlineStr">
        <is>
          <t>High</t>
        </is>
      </c>
      <c r="H19" s="49" t="inlineStr">
        <is>
          <t>Alex Kurniawan</t>
        </is>
      </c>
      <c r="I19" s="51" t="inlineStr">
        <is>
          <t>Resolved</t>
        </is>
      </c>
      <c r="J19" s="49" t="inlineStr">
        <is>
          <t>2026-03-05 13:00</t>
        </is>
      </c>
      <c r="K19" s="52">
        <f>IF(J19="",0,ROUND((DATEVALUE(LEFT(J19,10))+TIMEVALUE(RIGHT(J19,5))-(DATEVALUE(LEFT(B19,10))+TIMEVALUE(RIGHT(B19,5))))*24,1))</f>
        <v/>
      </c>
      <c r="L19" s="53">
        <f>IF(G19="Critical",4,IF(G19="High",8,IF(G19="Medium",24,72)))</f>
        <v/>
      </c>
      <c r="M19" s="54">
        <f>IF(OR(I19="Resolved",I19="Closed"),IF(K19&lt;=L19,"Met","Breached"),"Pending")</f>
        <v/>
      </c>
      <c r="N19" s="55" t="n">
        <v>5</v>
      </c>
    </row>
    <row r="20" ht="20" customHeight="1">
      <c r="A20" s="48" t="inlineStr">
        <is>
          <t>REQ-2026-011</t>
        </is>
      </c>
      <c r="B20" s="49" t="inlineStr">
        <is>
          <t>2026-03-05 14:30</t>
        </is>
      </c>
      <c r="C20" s="49" t="inlineStr">
        <is>
          <t>Kartika Sari</t>
        </is>
      </c>
      <c r="D20" s="49" t="inlineStr">
        <is>
          <t>HR</t>
        </is>
      </c>
      <c r="E20" s="49" t="inlineStr">
        <is>
          <t>Access &amp; Identity</t>
        </is>
      </c>
      <c r="F20" s="49" t="inlineStr">
        <is>
          <t>Revoke access for offboarding personnel</t>
        </is>
      </c>
      <c r="G20" s="50" t="inlineStr">
        <is>
          <t>High</t>
        </is>
      </c>
      <c r="H20" s="49" t="inlineStr">
        <is>
          <t>Siti Rahma</t>
        </is>
      </c>
      <c r="I20" s="51" t="inlineStr">
        <is>
          <t>Closed</t>
        </is>
      </c>
      <c r="J20" s="49" t="inlineStr">
        <is>
          <t>2026-03-05 16:45</t>
        </is>
      </c>
      <c r="K20" s="52">
        <f>IF(J20="",0,ROUND((DATEVALUE(LEFT(J20,10))+TIMEVALUE(RIGHT(J20,5))-(DATEVALUE(LEFT(B20,10))+TIMEVALUE(RIGHT(B20,5))))*24,1))</f>
        <v/>
      </c>
      <c r="L20" s="53">
        <f>IF(G20="Critical",4,IF(G20="High",8,IF(G20="Medium",24,72)))</f>
        <v/>
      </c>
      <c r="M20" s="54">
        <f>IF(OR(I20="Resolved",I20="Closed"),IF(K20&lt;=L20,"Met","Breached"),"Pending")</f>
        <v/>
      </c>
      <c r="N20" s="55" t="n">
        <v>5</v>
      </c>
    </row>
    <row r="21" ht="20" customHeight="1">
      <c r="A21" s="48" t="inlineStr">
        <is>
          <t>INC-2026-012</t>
        </is>
      </c>
      <c r="B21" s="49" t="inlineStr">
        <is>
          <t>2026-03-06 09:00</t>
        </is>
      </c>
      <c r="C21" s="49" t="inlineStr">
        <is>
          <t>Luki Hakim</t>
        </is>
      </c>
      <c r="D21" s="49" t="inlineStr">
        <is>
          <t>Supply Chain</t>
        </is>
      </c>
      <c r="E21" s="49" t="inlineStr">
        <is>
          <t>ERP &amp; Cloud</t>
        </is>
      </c>
      <c r="F21" s="49" t="inlineStr">
        <is>
          <t>Purchase Order approval workflow stalled</t>
        </is>
      </c>
      <c r="G21" s="50" t="inlineStr">
        <is>
          <t>High</t>
        </is>
      </c>
      <c r="H21" s="49" t="inlineStr">
        <is>
          <t>Alex Kurniawan</t>
        </is>
      </c>
      <c r="I21" s="51" t="inlineStr">
        <is>
          <t>Resolved</t>
        </is>
      </c>
      <c r="J21" s="49" t="inlineStr">
        <is>
          <t>2026-03-06 14:30</t>
        </is>
      </c>
      <c r="K21" s="52">
        <f>IF(J21="",0,ROUND((DATEVALUE(LEFT(J21,10))+TIMEVALUE(RIGHT(J21,5))-(DATEVALUE(LEFT(B21,10))+TIMEVALUE(RIGHT(B21,5))))*24,1))</f>
        <v/>
      </c>
      <c r="L21" s="53">
        <f>IF(G21="Critical",4,IF(G21="High",8,IF(G21="Medium",24,72)))</f>
        <v/>
      </c>
      <c r="M21" s="54">
        <f>IF(OR(I21="Resolved",I21="Closed"),IF(K21&lt;=L21,"Met","Breached"),"Pending")</f>
        <v/>
      </c>
      <c r="N21" s="55" t="n">
        <v>4</v>
      </c>
    </row>
    <row r="22" ht="20" customHeight="1">
      <c r="A22" s="48" t="inlineStr">
        <is>
          <t>INC-2026-013</t>
        </is>
      </c>
      <c r="B22" s="49" t="inlineStr">
        <is>
          <t>2026-03-06 11:45</t>
        </is>
      </c>
      <c r="C22" s="49" t="inlineStr">
        <is>
          <t>Maya Anggraini</t>
        </is>
      </c>
      <c r="D22" s="49" t="inlineStr">
        <is>
          <t>Finance</t>
        </is>
      </c>
      <c r="E22" s="49" t="inlineStr">
        <is>
          <t>Software</t>
        </is>
      </c>
      <c r="F22" s="49" t="inlineStr">
        <is>
          <t>Excel spreadsheet crashing when loading PowerQuery</t>
        </is>
      </c>
      <c r="G22" s="56" t="inlineStr">
        <is>
          <t>Low</t>
        </is>
      </c>
      <c r="H22" s="49" t="inlineStr">
        <is>
          <t>Kevin Sanjaya</t>
        </is>
      </c>
      <c r="I22" s="51" t="inlineStr">
        <is>
          <t>Resolved</t>
        </is>
      </c>
      <c r="J22" s="49" t="inlineStr">
        <is>
          <t>2026-03-08 14:00</t>
        </is>
      </c>
      <c r="K22" s="52">
        <f>IF(J22="",0,ROUND((DATEVALUE(LEFT(J22,10))+TIMEVALUE(RIGHT(J22,5))-(DATEVALUE(LEFT(B22,10))+TIMEVALUE(RIGHT(B22,5))))*24,1))</f>
        <v/>
      </c>
      <c r="L22" s="53">
        <f>IF(G22="Critical",4,IF(G22="High",8,IF(G22="Medium",24,72)))</f>
        <v/>
      </c>
      <c r="M22" s="54">
        <f>IF(OR(I22="Resolved",I22="Closed"),IF(K22&lt;=L22,"Met","Breached"),"Pending")</f>
        <v/>
      </c>
      <c r="N22" s="55" t="n">
        <v>4</v>
      </c>
    </row>
    <row r="23" ht="20" customHeight="1">
      <c r="A23" s="48" t="inlineStr">
        <is>
          <t>INC-2026-014</t>
        </is>
      </c>
      <c r="B23" s="49" t="inlineStr">
        <is>
          <t>2026-03-07 08:20</t>
        </is>
      </c>
      <c r="C23" s="49" t="inlineStr">
        <is>
          <t>Nanda Putra</t>
        </is>
      </c>
      <c r="D23" s="49" t="inlineStr">
        <is>
          <t>Marketing</t>
        </is>
      </c>
      <c r="E23" s="49" t="inlineStr">
        <is>
          <t>Access &amp; Identity</t>
        </is>
      </c>
      <c r="F23" s="49" t="inlineStr">
        <is>
          <t>Password reset and MFA sync on Google Workspace</t>
        </is>
      </c>
      <c r="G23" s="56" t="inlineStr">
        <is>
          <t>Medium</t>
        </is>
      </c>
      <c r="H23" s="49" t="inlineStr">
        <is>
          <t>Siti Rahma</t>
        </is>
      </c>
      <c r="I23" s="51" t="inlineStr">
        <is>
          <t>Resolved</t>
        </is>
      </c>
      <c r="J23" s="49" t="inlineStr">
        <is>
          <t>2026-03-07 10:00</t>
        </is>
      </c>
      <c r="K23" s="52">
        <f>IF(J23="",0,ROUND((DATEVALUE(LEFT(J23,10))+TIMEVALUE(RIGHT(J23,5))-(DATEVALUE(LEFT(B23,10))+TIMEVALUE(RIGHT(B23,5))))*24,1))</f>
        <v/>
      </c>
      <c r="L23" s="53">
        <f>IF(G23="Critical",4,IF(G23="High",8,IF(G23="Medium",24,72)))</f>
        <v/>
      </c>
      <c r="M23" s="54">
        <f>IF(OR(I23="Resolved",I23="Closed"),IF(K23&lt;=L23,"Met","Breached"),"Pending")</f>
        <v/>
      </c>
      <c r="N23" s="55" t="n">
        <v>5</v>
      </c>
    </row>
    <row r="24" ht="20" customHeight="1">
      <c r="A24" s="48" t="inlineStr">
        <is>
          <t>INC-2026-015</t>
        </is>
      </c>
      <c r="B24" s="49" t="inlineStr">
        <is>
          <t>2026-03-07 15:00</t>
        </is>
      </c>
      <c r="C24" s="49" t="inlineStr">
        <is>
          <t>Oscar Lawalata</t>
        </is>
      </c>
      <c r="D24" s="49" t="inlineStr">
        <is>
          <t>Sales</t>
        </is>
      </c>
      <c r="E24" s="49" t="inlineStr">
        <is>
          <t>Software</t>
        </is>
      </c>
      <c r="F24" s="49" t="inlineStr">
        <is>
          <t>Salesforce lead conversion validation rule error</t>
        </is>
      </c>
      <c r="G24" s="56" t="inlineStr">
        <is>
          <t>Medium</t>
        </is>
      </c>
      <c r="H24" s="49" t="inlineStr">
        <is>
          <t>Alex Kurniawan</t>
        </is>
      </c>
      <c r="I24" s="50" t="inlineStr">
        <is>
          <t>In Progress</t>
        </is>
      </c>
      <c r="J24" s="49" t="inlineStr"/>
      <c r="K24" s="52">
        <f>IF(J24="",0,ROUND((DATEVALUE(LEFT(J24,10))+TIMEVALUE(RIGHT(J24,5))-(DATEVALUE(LEFT(B24,10))+TIMEVALUE(RIGHT(B24,5))))*24,1))</f>
        <v/>
      </c>
      <c r="L24" s="53">
        <f>IF(G24="Critical",4,IF(G24="High",8,IF(G24="Medium",24,72)))</f>
        <v/>
      </c>
      <c r="M24" s="54">
        <f>IF(OR(I24="Resolved",I24="Closed"),IF(K24&lt;=L24,"Met","Breached"),"Pending")</f>
        <v/>
      </c>
      <c r="N24" s="55" t="inlineStr"/>
    </row>
    <row r="25" ht="20" customHeight="1">
      <c r="A25" s="48" t="inlineStr">
        <is>
          <t>INC-2026-016</t>
        </is>
      </c>
      <c r="B25" s="49" t="inlineStr">
        <is>
          <t>2026-03-08 09:30</t>
        </is>
      </c>
      <c r="C25" s="49" t="inlineStr">
        <is>
          <t>Pratiwi Kusuma</t>
        </is>
      </c>
      <c r="D25" s="49" t="inlineStr">
        <is>
          <t>Engineering</t>
        </is>
      </c>
      <c r="E25" s="49" t="inlineStr">
        <is>
          <t>Hardware</t>
        </is>
      </c>
      <c r="F25" s="49" t="inlineStr">
        <is>
          <t>MacBook Pro M3 USB-C ports not recognizing display</t>
        </is>
      </c>
      <c r="G25" s="56" t="inlineStr">
        <is>
          <t>Medium</t>
        </is>
      </c>
      <c r="H25" s="49" t="inlineStr">
        <is>
          <t>Kevin Sanjaya</t>
        </is>
      </c>
      <c r="I25" s="58" t="inlineStr">
        <is>
          <t>Open</t>
        </is>
      </c>
      <c r="J25" s="49" t="inlineStr"/>
      <c r="K25" s="52">
        <f>IF(J25="",0,ROUND((DATEVALUE(LEFT(J25,10))+TIMEVALUE(RIGHT(J25,5))-(DATEVALUE(LEFT(B25,10))+TIMEVALUE(RIGHT(B25,5))))*24,1))</f>
        <v/>
      </c>
      <c r="L25" s="53">
        <f>IF(G25="Critical",4,IF(G25="High",8,IF(G25="Medium",24,72)))</f>
        <v/>
      </c>
      <c r="M25" s="54">
        <f>IF(OR(I25="Resolved",I25="Closed"),IF(K25&lt;=L25,"Met","Breached"),"Pending")</f>
        <v/>
      </c>
      <c r="N25" s="55" t="inlineStr"/>
    </row>
    <row r="26" ht="20" customHeight="1">
      <c r="A26" s="48" t="inlineStr">
        <is>
          <t>INC-2026-017</t>
        </is>
      </c>
      <c r="B26" s="49" t="inlineStr">
        <is>
          <t>2026-03-08 11:00</t>
        </is>
      </c>
      <c r="C26" s="49" t="inlineStr">
        <is>
          <t>Qori Maulana</t>
        </is>
      </c>
      <c r="D26" s="49" t="inlineStr">
        <is>
          <t>Customer Service</t>
        </is>
      </c>
      <c r="E26" s="49" t="inlineStr">
        <is>
          <t>Network</t>
        </is>
      </c>
      <c r="F26" s="49" t="inlineStr">
        <is>
          <t>Call center VoIP jitter during peak hours</t>
        </is>
      </c>
      <c r="G26" s="57" t="inlineStr">
        <is>
          <t>Critical</t>
        </is>
      </c>
      <c r="H26" s="49" t="inlineStr">
        <is>
          <t>Rian Pratama</t>
        </is>
      </c>
      <c r="I26" s="51" t="inlineStr">
        <is>
          <t>Resolved</t>
        </is>
      </c>
      <c r="J26" s="49" t="inlineStr">
        <is>
          <t>2026-03-08 13:45</t>
        </is>
      </c>
      <c r="K26" s="52">
        <f>IF(J26="",0,ROUND((DATEVALUE(LEFT(J26,10))+TIMEVALUE(RIGHT(J26,5))-(DATEVALUE(LEFT(B26,10))+TIMEVALUE(RIGHT(B26,5))))*24,1))</f>
        <v/>
      </c>
      <c r="L26" s="53">
        <f>IF(G26="Critical",4,IF(G26="High",8,IF(G26="Medium",24,72)))</f>
        <v/>
      </c>
      <c r="M26" s="54">
        <f>IF(OR(I26="Resolved",I26="Closed"),IF(K26&lt;=L26,"Met","Breached"),"Pending")</f>
        <v/>
      </c>
      <c r="N26" s="55" t="n">
        <v>5</v>
      </c>
    </row>
    <row r="27" ht="20" customHeight="1">
      <c r="A27" s="48" t="inlineStr">
        <is>
          <t>REQ-2026-018</t>
        </is>
      </c>
      <c r="B27" s="49" t="inlineStr">
        <is>
          <t>2026-03-09 10:00</t>
        </is>
      </c>
      <c r="C27" s="49" t="inlineStr">
        <is>
          <t>Rina Marlina</t>
        </is>
      </c>
      <c r="D27" s="49" t="inlineStr">
        <is>
          <t>Finance</t>
        </is>
      </c>
      <c r="E27" s="49" t="inlineStr">
        <is>
          <t>Access &amp; Identity</t>
        </is>
      </c>
      <c r="F27" s="49" t="inlineStr">
        <is>
          <t>Bank corporate portal token setup</t>
        </is>
      </c>
      <c r="G27" s="56" t="inlineStr">
        <is>
          <t>Medium</t>
        </is>
      </c>
      <c r="H27" s="49" t="inlineStr">
        <is>
          <t>Siti Rahma</t>
        </is>
      </c>
      <c r="I27" s="50" t="inlineStr">
        <is>
          <t>In Progress</t>
        </is>
      </c>
      <c r="J27" s="49" t="inlineStr"/>
      <c r="K27" s="52">
        <f>IF(J27="",0,ROUND((DATEVALUE(LEFT(J27,10))+TIMEVALUE(RIGHT(J27,5))-(DATEVALUE(LEFT(B27,10))+TIMEVALUE(RIGHT(B27,5))))*24,1))</f>
        <v/>
      </c>
      <c r="L27" s="53">
        <f>IF(G27="Critical",4,IF(G27="High",8,IF(G27="Medium",24,72)))</f>
        <v/>
      </c>
      <c r="M27" s="54">
        <f>IF(OR(I27="Resolved",I27="Closed"),IF(K27&lt;=L27,"Met","Breached"),"Pending")</f>
        <v/>
      </c>
      <c r="N27" s="55" t="inlineStr"/>
    </row>
    <row r="28" ht="20" customHeight="1">
      <c r="A28" s="48" t="inlineStr">
        <is>
          <t>INC-2026-019</t>
        </is>
      </c>
      <c r="B28" s="49" t="inlineStr">
        <is>
          <t>2026-03-09 13:15</t>
        </is>
      </c>
      <c r="C28" s="49" t="inlineStr">
        <is>
          <t>Surya Saputra</t>
        </is>
      </c>
      <c r="D28" s="49" t="inlineStr">
        <is>
          <t>HR</t>
        </is>
      </c>
      <c r="E28" s="49" t="inlineStr">
        <is>
          <t>Software</t>
        </is>
      </c>
      <c r="F28" s="49" t="inlineStr">
        <is>
          <t>Workday time-off calendar sync failure with Outlook</t>
        </is>
      </c>
      <c r="G28" s="56" t="inlineStr">
        <is>
          <t>Low</t>
        </is>
      </c>
      <c r="H28" s="49" t="inlineStr">
        <is>
          <t>Kevin Sanjaya</t>
        </is>
      </c>
      <c r="I28" s="58" t="inlineStr">
        <is>
          <t>Open</t>
        </is>
      </c>
      <c r="J28" s="49" t="inlineStr"/>
      <c r="K28" s="52">
        <f>IF(J28="",0,ROUND((DATEVALUE(LEFT(J28,10))+TIMEVALUE(RIGHT(J28,5))-(DATEVALUE(LEFT(B28,10))+TIMEVALUE(RIGHT(B28,5))))*24,1))</f>
        <v/>
      </c>
      <c r="L28" s="53">
        <f>IF(G28="Critical",4,IF(G28="High",8,IF(G28="Medium",24,72)))</f>
        <v/>
      </c>
      <c r="M28" s="54">
        <f>IF(OR(I28="Resolved",I28="Closed"),IF(K28&lt;=L28,"Met","Breached"),"Pending")</f>
        <v/>
      </c>
      <c r="N28" s="55" t="inlineStr"/>
    </row>
    <row r="29" ht="20" customHeight="1">
      <c r="A29" s="48" t="inlineStr">
        <is>
          <t>INC-2026-020</t>
        </is>
      </c>
      <c r="B29" s="49" t="inlineStr">
        <is>
          <t>2026-03-10 08:45</t>
        </is>
      </c>
      <c r="C29" s="49" t="inlineStr">
        <is>
          <t>Taufik Hidayat</t>
        </is>
      </c>
      <c r="D29" s="49" t="inlineStr">
        <is>
          <t>Operations</t>
        </is>
      </c>
      <c r="E29" s="49" t="inlineStr">
        <is>
          <t>Hardware</t>
        </is>
      </c>
      <c r="F29" s="49" t="inlineStr">
        <is>
          <t>Server room rack UPS warning beep continuous</t>
        </is>
      </c>
      <c r="G29" s="57" t="inlineStr">
        <is>
          <t>Critical</t>
        </is>
      </c>
      <c r="H29" s="49" t="inlineStr">
        <is>
          <t>Rian Pratama</t>
        </is>
      </c>
      <c r="I29" s="51" t="inlineStr">
        <is>
          <t>Resolved</t>
        </is>
      </c>
      <c r="J29" s="49" t="inlineStr">
        <is>
          <t>2026-03-10 10:15</t>
        </is>
      </c>
      <c r="K29" s="52">
        <f>IF(J29="",0,ROUND((DATEVALUE(LEFT(J29,10))+TIMEVALUE(RIGHT(J29,5))-(DATEVALUE(LEFT(B29,10))+TIMEVALUE(RIGHT(B29,5))))*24,1))</f>
        <v/>
      </c>
      <c r="L29" s="53">
        <f>IF(G29="Critical",4,IF(G29="High",8,IF(G29="Medium",24,72)))</f>
        <v/>
      </c>
      <c r="M29" s="54">
        <f>IF(OR(I29="Resolved",I29="Closed"),IF(K29&lt;=L29,"Met","Breached"),"Pending")</f>
        <v/>
      </c>
      <c r="N29" s="55" t="n">
        <v>5</v>
      </c>
    </row>
  </sheetData>
  <mergeCells count="6">
    <mergeCell ref="J3:K3"/>
    <mergeCell ref="A2:N2"/>
    <mergeCell ref="D3:E3"/>
    <mergeCell ref="A3:B3"/>
    <mergeCell ref="G3:H3"/>
    <mergeCell ref="A1:N1"/>
  </mergeCells>
  <conditionalFormatting sqref="M10:M100">
    <cfRule type="cellIs" priority="1" operator="equal" dxfId="0" stopIfTrue="1">
      <formula>"Met"</formula>
    </cfRule>
    <cfRule type="cellIs" priority="2" operator="equal" dxfId="1" stopIfTrue="1">
      <formula>"Breached"</formula>
    </cfRule>
    <cfRule type="cellIs" priority="3" operator="equal" dxfId="2" stopIfTrue="1">
      <formula>"Pending"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6" customWidth="1" min="3" max="3"/>
    <col width="16" customWidth="1" min="4" max="4"/>
    <col width="16" customWidth="1" min="5" max="5"/>
    <col width="18" customWidth="1" min="6" max="6"/>
    <col width="16" customWidth="1" min="7" max="7"/>
    <col width="18" customWidth="1" min="8" max="8"/>
    <col width="14" customWidth="1" min="9" max="9"/>
    <col width="20" customWidth="1" min="10" max="10"/>
  </cols>
  <sheetData>
    <row r="1" ht="36" customHeight="1">
      <c r="A1" s="1" t="inlineStr">
        <is>
          <t>SERVICE DESK SLA &amp; AGENT PERFORMANCE SCORECARD</t>
        </is>
      </c>
    </row>
    <row r="2" ht="20" customHeight="1">
      <c r="A2" s="2" t="inlineStr">
        <is>
          <t>Staff Productivity, First Contact Resolution (FCR), and User Satisfaction Leaderboard</t>
        </is>
      </c>
    </row>
    <row r="4" ht="26" customHeight="1">
      <c r="A4" s="47" t="inlineStr">
        <is>
          <t>Agent Name</t>
        </is>
      </c>
      <c r="B4" s="47" t="inlineStr">
        <is>
          <t>Tier / Specialization</t>
        </is>
      </c>
      <c r="C4" s="47" t="inlineStr">
        <is>
          <t>Assigned Tickets</t>
        </is>
      </c>
      <c r="D4" s="47" t="inlineStr">
        <is>
          <t>Resolved Tickets</t>
        </is>
      </c>
      <c r="E4" s="47" t="inlineStr">
        <is>
          <t>Open / Backlog</t>
        </is>
      </c>
      <c r="F4" s="47" t="inlineStr">
        <is>
          <t>Resolution Rate %</t>
        </is>
      </c>
      <c r="G4" s="47" t="inlineStr">
        <is>
          <t>SLA Met Count</t>
        </is>
      </c>
      <c r="H4" s="47" t="inlineStr">
        <is>
          <t>SLA Compliance %</t>
        </is>
      </c>
      <c r="I4" s="47" t="inlineStr">
        <is>
          <t>Avg CSAT (1-5)</t>
        </is>
      </c>
      <c r="J4" s="47" t="inlineStr">
        <is>
          <t>Performance Rating</t>
        </is>
      </c>
    </row>
    <row r="5" ht="22" customHeight="1">
      <c r="A5" s="59" t="inlineStr">
        <is>
          <t>Alex Kurniawan</t>
        </is>
      </c>
      <c r="B5" s="60" t="inlineStr">
        <is>
          <t>Tier 2 - Systems &amp; ERP</t>
        </is>
      </c>
      <c r="C5" s="55">
        <f>COUNTIF('Helpdesk Tickets'!$H$10:$H$100, A5)</f>
        <v/>
      </c>
      <c r="D5" s="61">
        <f>COUNTIFS('Helpdesk Tickets'!$H$10:$H$100, A5, 'Helpdesk Tickets'!$I$10:$I$100, "Resolved") + COUNTIFS('Helpdesk Tickets'!$H$10:$H$100, A5, 'Helpdesk Tickets'!$I$10:$I$100, "Closed")</f>
        <v/>
      </c>
      <c r="E5" s="62">
        <f>C5-D5</f>
        <v/>
      </c>
      <c r="F5" s="63">
        <f>D5/MAX(1, C5)</f>
        <v/>
      </c>
      <c r="G5" s="64">
        <f>COUNTIFS('Helpdesk Tickets'!$H$10:$H$100, A5, 'Helpdesk Tickets'!$M$10:$M$100, "Met")</f>
        <v/>
      </c>
      <c r="H5" s="65">
        <f>G5/MAX(1, D5)</f>
        <v/>
      </c>
      <c r="I5" s="66">
        <f>AVERAGEIFS('Helpdesk Tickets'!$N$10:$N$100, 'Helpdesk Tickets'!$H$10:$H$100, A5, 'Helpdesk Tickets'!$N$10:$N$100, "&gt;0")</f>
        <v/>
      </c>
      <c r="J5" s="55">
        <f>IF(H5&gt;=0.95, "Top Performer", IF(H5&gt;=0.85, "Satisfactory", "Needs Improvement"))</f>
        <v/>
      </c>
    </row>
    <row r="6" ht="22" customHeight="1">
      <c r="A6" s="59" t="inlineStr">
        <is>
          <t>Siti Rahma</t>
        </is>
      </c>
      <c r="B6" s="60" t="inlineStr">
        <is>
          <t>Tier 1 - Identity &amp; Access</t>
        </is>
      </c>
      <c r="C6" s="55">
        <f>COUNTIF('Helpdesk Tickets'!$H$10:$H$100, A6)</f>
        <v/>
      </c>
      <c r="D6" s="61">
        <f>COUNTIFS('Helpdesk Tickets'!$H$10:$H$100, A6, 'Helpdesk Tickets'!$I$10:$I$100, "Resolved") + COUNTIFS('Helpdesk Tickets'!$H$10:$H$100, A6, 'Helpdesk Tickets'!$I$10:$I$100, "Closed")</f>
        <v/>
      </c>
      <c r="E6" s="62">
        <f>C6-D6</f>
        <v/>
      </c>
      <c r="F6" s="63">
        <f>D6/MAX(1, C6)</f>
        <v/>
      </c>
      <c r="G6" s="64">
        <f>COUNTIFS('Helpdesk Tickets'!$H$10:$H$100, A6, 'Helpdesk Tickets'!$M$10:$M$100, "Met")</f>
        <v/>
      </c>
      <c r="H6" s="65">
        <f>G6/MAX(1, D6)</f>
        <v/>
      </c>
      <c r="I6" s="66">
        <f>AVERAGEIFS('Helpdesk Tickets'!$N$10:$N$100, 'Helpdesk Tickets'!$H$10:$H$100, A6, 'Helpdesk Tickets'!$N$10:$N$100, "&gt;0")</f>
        <v/>
      </c>
      <c r="J6" s="55">
        <f>IF(H6&gt;=0.95, "Top Performer", IF(H6&gt;=0.85, "Satisfactory", "Needs Improvement"))</f>
        <v/>
      </c>
    </row>
    <row r="7" ht="22" customHeight="1">
      <c r="A7" s="59" t="inlineStr">
        <is>
          <t>Rian Pratama</t>
        </is>
      </c>
      <c r="B7" s="60" t="inlineStr">
        <is>
          <t>Tier 2 - Network &amp; Infra</t>
        </is>
      </c>
      <c r="C7" s="55">
        <f>COUNTIF('Helpdesk Tickets'!$H$10:$H$100, A7)</f>
        <v/>
      </c>
      <c r="D7" s="61">
        <f>COUNTIFS('Helpdesk Tickets'!$H$10:$H$100, A7, 'Helpdesk Tickets'!$I$10:$I$100, "Resolved") + COUNTIFS('Helpdesk Tickets'!$H$10:$H$100, A7, 'Helpdesk Tickets'!$I$10:$I$100, "Closed")</f>
        <v/>
      </c>
      <c r="E7" s="62">
        <f>C7-D7</f>
        <v/>
      </c>
      <c r="F7" s="63">
        <f>D7/MAX(1, C7)</f>
        <v/>
      </c>
      <c r="G7" s="64">
        <f>COUNTIFS('Helpdesk Tickets'!$H$10:$H$100, A7, 'Helpdesk Tickets'!$M$10:$M$100, "Met")</f>
        <v/>
      </c>
      <c r="H7" s="65">
        <f>G7/MAX(1, D7)</f>
        <v/>
      </c>
      <c r="I7" s="66">
        <f>AVERAGEIFS('Helpdesk Tickets'!$N$10:$N$100, 'Helpdesk Tickets'!$H$10:$H$100, A7, 'Helpdesk Tickets'!$N$10:$N$100, "&gt;0")</f>
        <v/>
      </c>
      <c r="J7" s="55">
        <f>IF(H7&gt;=0.95, "Top Performer", IF(H7&gt;=0.85, "Satisfactory", "Needs Improvement"))</f>
        <v/>
      </c>
    </row>
    <row r="8" ht="22" customHeight="1">
      <c r="A8" s="59" t="inlineStr">
        <is>
          <t>Kevin Sanjaya</t>
        </is>
      </c>
      <c r="B8" s="60" t="inlineStr">
        <is>
          <t>Tier 1 - Hardware &amp; Workplace</t>
        </is>
      </c>
      <c r="C8" s="55">
        <f>COUNTIF('Helpdesk Tickets'!$H$10:$H$100, A8)</f>
        <v/>
      </c>
      <c r="D8" s="61">
        <f>COUNTIFS('Helpdesk Tickets'!$H$10:$H$100, A8, 'Helpdesk Tickets'!$I$10:$I$100, "Resolved") + COUNTIFS('Helpdesk Tickets'!$H$10:$H$100, A8, 'Helpdesk Tickets'!$I$10:$I$100, "Closed")</f>
        <v/>
      </c>
      <c r="E8" s="62">
        <f>C8-D8</f>
        <v/>
      </c>
      <c r="F8" s="63">
        <f>D8/MAX(1, C8)</f>
        <v/>
      </c>
      <c r="G8" s="64">
        <f>COUNTIFS('Helpdesk Tickets'!$H$10:$H$100, A8, 'Helpdesk Tickets'!$M$10:$M$100, "Met")</f>
        <v/>
      </c>
      <c r="H8" s="65">
        <f>G8/MAX(1, D8)</f>
        <v/>
      </c>
      <c r="I8" s="66">
        <f>AVERAGEIFS('Helpdesk Tickets'!$N$10:$N$100, 'Helpdesk Tickets'!$H$10:$H$100, A8, 'Helpdesk Tickets'!$N$10:$N$100, "&gt;0")</f>
        <v/>
      </c>
      <c r="J8" s="55">
        <f>IF(H8&gt;=0.95, "Top Performer", IF(H8&gt;=0.85, "Satisfactory", "Needs Improvement"))</f>
        <v/>
      </c>
    </row>
    <row r="11" ht="16" customHeight="1"/>
    <row r="12" ht="22" customHeight="1">
      <c r="A12" s="33" t="inlineStr">
        <is>
          <t>STANDARD IT SERVICE LEVEL AGREEMENT (SLA) DEFINITIONS</t>
        </is>
      </c>
    </row>
    <row r="13" ht="20" customHeight="1">
      <c r="A13" s="34" t="inlineStr">
        <is>
          <t>Priority Level</t>
        </is>
      </c>
      <c r="B13" s="34" t="inlineStr">
        <is>
          <t>Target Response Time</t>
        </is>
      </c>
      <c r="C13" s="34" t="inlineStr">
        <is>
          <t>Target Resolution SLA</t>
        </is>
      </c>
      <c r="D13" s="34" t="inlineStr">
        <is>
          <t>Business Impact</t>
        </is>
      </c>
      <c r="E13" s="34" t="inlineStr">
        <is>
          <t>Escalation Matrix</t>
        </is>
      </c>
    </row>
    <row r="14" ht="20" customHeight="1">
      <c r="A14" s="67" t="inlineStr">
        <is>
          <t>Critical (P1)</t>
        </is>
      </c>
      <c r="B14" s="37" t="inlineStr">
        <is>
          <t>15 Minutes</t>
        </is>
      </c>
      <c r="C14" s="37" t="inlineStr">
        <is>
          <t>4 Hours</t>
        </is>
      </c>
      <c r="D14" s="36" t="inlineStr">
        <is>
          <t>Total outage of enterprise service, stopping revenue/operations</t>
        </is>
      </c>
      <c r="E14" s="36" t="inlineStr">
        <is>
          <t>Immediate notification to CIO, IT Manager &amp; On-Call Lead</t>
        </is>
      </c>
    </row>
    <row r="15" ht="20" customHeight="1">
      <c r="A15" s="68" t="inlineStr">
        <is>
          <t>High (P2)</t>
        </is>
      </c>
      <c r="B15" s="37" t="inlineStr">
        <is>
          <t>30 Minutes</t>
        </is>
      </c>
      <c r="C15" s="37" t="inlineStr">
        <is>
          <t>8 Hours</t>
        </is>
      </c>
      <c r="D15" s="36" t="inlineStr">
        <is>
          <t>Major system degraded; significant user group impaired without workaround</t>
        </is>
      </c>
      <c r="E15" s="36" t="inlineStr">
        <is>
          <t>Escalated to IT Operations Lead within 1 hour</t>
        </is>
      </c>
    </row>
    <row r="16" ht="20" customHeight="1">
      <c r="A16" s="69" t="inlineStr">
        <is>
          <t>Medium (P3)</t>
        </is>
      </c>
      <c r="B16" s="37" t="inlineStr">
        <is>
          <t>2 Hours</t>
        </is>
      </c>
      <c r="C16" s="37" t="inlineStr">
        <is>
          <t>24 Hours</t>
        </is>
      </c>
      <c r="D16" s="36" t="inlineStr">
        <is>
          <t>Moderate disruption; workaround available or single-user business app</t>
        </is>
      </c>
      <c r="E16" s="36" t="inlineStr">
        <is>
          <t>Assigned to primary queue; daily backlog triage</t>
        </is>
      </c>
    </row>
    <row r="17" ht="20" customHeight="1">
      <c r="A17" s="69" t="inlineStr">
        <is>
          <t>Low (P4)</t>
        </is>
      </c>
      <c r="B17" s="37" t="inlineStr">
        <is>
          <t>4 Hours</t>
        </is>
      </c>
      <c r="C17" s="37" t="inlineStr">
        <is>
          <t>72 Hours</t>
        </is>
      </c>
      <c r="D17" s="36" t="inlineStr">
        <is>
          <t>Minor cosmetic defect, general inquiry, or new hardware provisioning</t>
        </is>
      </c>
      <c r="E17" s="36" t="inlineStr">
        <is>
          <t>Standard queue assignment; resolved in standard business hours</t>
        </is>
      </c>
    </row>
  </sheetData>
  <mergeCells count="3">
    <mergeCell ref="A1:J1"/>
    <mergeCell ref="A12:F12"/>
    <mergeCell ref="A2:J2"/>
  </mergeCells>
  <conditionalFormatting sqref="J5:J20">
    <cfRule type="cellIs" priority="1" operator="equal" dxfId="0" stopIfTrue="1">
      <formula>"Top Performer"</formula>
    </cfRule>
    <cfRule type="cellIs" priority="2" operator="equal" dxfId="3" stopIfTrue="1">
      <formula>"Satisfactory"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38" customWidth="1" min="3" max="3"/>
    <col width="14" customWidth="1" min="4" max="4"/>
    <col width="14" customWidth="1" min="5" max="5"/>
    <col width="28" customWidth="1" min="6" max="6"/>
    <col width="18" customWidth="1" min="7" max="7"/>
    <col width="24" customWidth="1" min="8" max="8"/>
    <col width="16" customWidth="1" min="9" max="9"/>
    <col width="14" customWidth="1" min="10" max="10"/>
    <col width="14" customWidth="1" min="11" max="11"/>
    <col width="16" customWidth="1" min="12" max="12"/>
    <col width="20" customWidth="1" min="13" max="13"/>
  </cols>
  <sheetData>
    <row r="1" ht="36" customHeight="1">
      <c r="A1" s="1" t="inlineStr">
        <is>
          <t>IT CHANGE MANAGEMENT &amp; CAB REGISTRY (ITIL)</t>
        </is>
      </c>
    </row>
    <row r="2" ht="20" customHeight="1">
      <c r="A2" s="2" t="inlineStr">
        <is>
          <t>Request for Change (RFC) Governance, Impact Assessment, Approvals, &amp; Rollback Controls</t>
        </is>
      </c>
    </row>
    <row r="3" ht="20" customHeight="1">
      <c r="A3" s="39" t="inlineStr">
        <is>
          <t>TOTAL RFCS:</t>
        </is>
      </c>
      <c r="C3" s="40">
        <f>COUNTA(A10:A50)</f>
        <v/>
      </c>
      <c r="D3" s="39" t="inlineStr">
        <is>
          <t>APPROVED / SCHEDULED:</t>
        </is>
      </c>
      <c r="F3" s="70">
        <f>COUNTIF(I10:I50, "Approved")</f>
        <v/>
      </c>
      <c r="G3" s="39" t="inlineStr">
        <is>
          <t>UNDER REVIEW:</t>
        </is>
      </c>
      <c r="I3" s="71">
        <f>COUNTIF(I10:I50, "Under Review")</f>
        <v/>
      </c>
      <c r="J3" s="39" t="inlineStr">
        <is>
          <t>CHANGE SUCCESS RATE:</t>
        </is>
      </c>
      <c r="L3" s="41">
        <f>COUNTIF(L10:L50, "Successful")/MAX(1, COUNTIF(L10:L50, "Successful")+COUNTIF(L10:L50, "Failed"))</f>
        <v/>
      </c>
    </row>
    <row r="9" ht="26" customHeight="1">
      <c r="A9" s="47" t="inlineStr">
        <is>
          <t>RFC ID</t>
        </is>
      </c>
      <c r="B9" s="47" t="inlineStr">
        <is>
          <t>Submission Date</t>
        </is>
      </c>
      <c r="C9" s="47" t="inlineStr">
        <is>
          <t>Change Title</t>
        </is>
      </c>
      <c r="D9" s="47" t="inlineStr">
        <is>
          <t>Change Type</t>
        </is>
      </c>
      <c r="E9" s="47" t="inlineStr">
        <is>
          <t>Risk Level</t>
        </is>
      </c>
      <c r="F9" s="47" t="inlineStr">
        <is>
          <t>Systems Impacted</t>
        </is>
      </c>
      <c r="G9" s="47" t="inlineStr">
        <is>
          <t>Requester</t>
        </is>
      </c>
      <c r="H9" s="47" t="inlineStr">
        <is>
          <t>CAB Approver</t>
        </is>
      </c>
      <c r="I9" s="47" t="inlineStr">
        <is>
          <t>Approval Status</t>
        </is>
      </c>
      <c r="J9" s="47" t="inlineStr">
        <is>
          <t>Planned Date</t>
        </is>
      </c>
      <c r="K9" s="47" t="inlineStr">
        <is>
          <t>Actual Date</t>
        </is>
      </c>
      <c r="L9" s="47" t="inlineStr">
        <is>
          <t>Execution Outcome</t>
        </is>
      </c>
      <c r="M9" s="47" t="inlineStr">
        <is>
          <t>Rollback Plan Tested</t>
        </is>
      </c>
    </row>
    <row r="10" ht="20" customHeight="1">
      <c r="A10" s="72" t="inlineStr">
        <is>
          <t>RFC-2026-001</t>
        </is>
      </c>
      <c r="B10" s="37" t="inlineStr">
        <is>
          <t>2026-02-25</t>
        </is>
      </c>
      <c r="C10" s="36" t="inlineStr">
        <is>
          <t>Core Firewall Firmware Upgrade to v7.4</t>
        </is>
      </c>
      <c r="D10" s="37" t="inlineStr">
        <is>
          <t>Normal</t>
        </is>
      </c>
      <c r="E10" s="73" t="inlineStr">
        <is>
          <t>High</t>
        </is>
      </c>
      <c r="F10" s="36" t="inlineStr">
        <is>
          <t>Perimeter Firewalls, VPN</t>
        </is>
      </c>
      <c r="G10" s="36" t="inlineStr">
        <is>
          <t>Rian Pratama</t>
        </is>
      </c>
      <c r="H10" s="36" t="inlineStr">
        <is>
          <t>IT Director (Hendrawan)</t>
        </is>
      </c>
      <c r="I10" s="38" t="inlineStr">
        <is>
          <t>Approved</t>
        </is>
      </c>
      <c r="J10" s="37" t="inlineStr">
        <is>
          <t>2026-03-01</t>
        </is>
      </c>
      <c r="K10" s="37" t="inlineStr">
        <is>
          <t>2026-03-01</t>
        </is>
      </c>
      <c r="L10" s="38" t="inlineStr">
        <is>
          <t>Successful</t>
        </is>
      </c>
      <c r="M10" s="37" t="inlineStr">
        <is>
          <t>Yes</t>
        </is>
      </c>
    </row>
    <row r="11" ht="20" customHeight="1">
      <c r="A11" s="72" t="inlineStr">
        <is>
          <t>RFC-2026-002</t>
        </is>
      </c>
      <c r="B11" s="37" t="inlineStr">
        <is>
          <t>2026-02-28</t>
        </is>
      </c>
      <c r="C11" s="36" t="inlineStr">
        <is>
          <t>PostgreSQL Database Migration to AWS RDS Aurora</t>
        </is>
      </c>
      <c r="D11" s="37" t="inlineStr">
        <is>
          <t>Normal</t>
        </is>
      </c>
      <c r="E11" s="73" t="inlineStr">
        <is>
          <t>High</t>
        </is>
      </c>
      <c r="F11" s="36" t="inlineStr">
        <is>
          <t>ERP &amp; Inventory DB</t>
        </is>
      </c>
      <c r="G11" s="36" t="inlineStr">
        <is>
          <t>Alex Kurniawan</t>
        </is>
      </c>
      <c r="H11" s="36" t="inlineStr">
        <is>
          <t>Head of Infra (Susanto)</t>
        </is>
      </c>
      <c r="I11" s="38" t="inlineStr">
        <is>
          <t>Approved</t>
        </is>
      </c>
      <c r="J11" s="37" t="inlineStr">
        <is>
          <t>2026-03-05</t>
        </is>
      </c>
      <c r="K11" s="37" t="inlineStr">
        <is>
          <t>2026-03-05</t>
        </is>
      </c>
      <c r="L11" s="38" t="inlineStr">
        <is>
          <t>Successful</t>
        </is>
      </c>
      <c r="M11" s="37" t="inlineStr">
        <is>
          <t>Yes</t>
        </is>
      </c>
    </row>
    <row r="12" ht="20" customHeight="1">
      <c r="A12" s="72" t="inlineStr">
        <is>
          <t>RFC-2026-003</t>
        </is>
      </c>
      <c r="B12" s="37" t="inlineStr">
        <is>
          <t>2026-03-02</t>
        </is>
      </c>
      <c r="C12" s="36" t="inlineStr">
        <is>
          <t>Emergency OpenSSH Zero-Day Patch Deployment</t>
        </is>
      </c>
      <c r="D12" s="37" t="inlineStr">
        <is>
          <t>Emergency</t>
        </is>
      </c>
      <c r="E12" s="74" t="inlineStr">
        <is>
          <t>Critical</t>
        </is>
      </c>
      <c r="F12" s="36" t="inlineStr">
        <is>
          <t>All Linux Production Servers</t>
        </is>
      </c>
      <c r="G12" s="36" t="inlineStr">
        <is>
          <t>Rian Pratama</t>
        </is>
      </c>
      <c r="H12" s="36" t="inlineStr">
        <is>
          <t>CISO &amp; IT Director</t>
        </is>
      </c>
      <c r="I12" s="38" t="inlineStr">
        <is>
          <t>Approved</t>
        </is>
      </c>
      <c r="J12" s="37" t="inlineStr">
        <is>
          <t>2026-03-02</t>
        </is>
      </c>
      <c r="K12" s="37" t="inlineStr">
        <is>
          <t>2026-03-02</t>
        </is>
      </c>
      <c r="L12" s="38" t="inlineStr">
        <is>
          <t>Successful</t>
        </is>
      </c>
      <c r="M12" s="37" t="inlineStr">
        <is>
          <t>Yes</t>
        </is>
      </c>
    </row>
    <row r="13" ht="20" customHeight="1">
      <c r="A13" s="72" t="inlineStr">
        <is>
          <t>RFC-2026-004</t>
        </is>
      </c>
      <c r="B13" s="37" t="inlineStr">
        <is>
          <t>2026-03-04</t>
        </is>
      </c>
      <c r="C13" s="36" t="inlineStr">
        <is>
          <t>Active Directory Schema Extension for Entra ID Sync</t>
        </is>
      </c>
      <c r="D13" s="37" t="inlineStr">
        <is>
          <t>Normal</t>
        </is>
      </c>
      <c r="E13" s="37" t="inlineStr">
        <is>
          <t>Medium</t>
        </is>
      </c>
      <c r="F13" s="36" t="inlineStr">
        <is>
          <t>Domain Controllers, IAM</t>
        </is>
      </c>
      <c r="G13" s="36" t="inlineStr">
        <is>
          <t>Siti Rahma</t>
        </is>
      </c>
      <c r="H13" s="36" t="inlineStr">
        <is>
          <t>Head of Infra (Susanto)</t>
        </is>
      </c>
      <c r="I13" s="38" t="inlineStr">
        <is>
          <t>Approved</t>
        </is>
      </c>
      <c r="J13" s="37" t="inlineStr">
        <is>
          <t>2026-03-08</t>
        </is>
      </c>
      <c r="K13" s="37" t="inlineStr">
        <is>
          <t>2026-03-08</t>
        </is>
      </c>
      <c r="L13" s="38" t="inlineStr">
        <is>
          <t>Successful</t>
        </is>
      </c>
      <c r="M13" s="37" t="inlineStr">
        <is>
          <t>Yes</t>
        </is>
      </c>
    </row>
    <row r="14" ht="20" customHeight="1">
      <c r="A14" s="72" t="inlineStr">
        <is>
          <t>RFC-2026-005</t>
        </is>
      </c>
      <c r="B14" s="37" t="inlineStr">
        <is>
          <t>2026-03-06</t>
        </is>
      </c>
      <c r="C14" s="36" t="inlineStr">
        <is>
          <t>Office Wi-Fi SSID VLAN Re-segmentation</t>
        </is>
      </c>
      <c r="D14" s="37" t="inlineStr">
        <is>
          <t>Standard</t>
        </is>
      </c>
      <c r="E14" s="37" t="inlineStr">
        <is>
          <t>Low</t>
        </is>
      </c>
      <c r="F14" s="36" t="inlineStr">
        <is>
          <t>Corporate Wireless Network</t>
        </is>
      </c>
      <c r="G14" s="36" t="inlineStr">
        <is>
          <t>Kevin Sanjaya</t>
        </is>
      </c>
      <c r="H14" s="36" t="inlineStr">
        <is>
          <t>IT Ops Lead</t>
        </is>
      </c>
      <c r="I14" s="38" t="inlineStr">
        <is>
          <t>Approved</t>
        </is>
      </c>
      <c r="J14" s="37" t="inlineStr">
        <is>
          <t>2026-03-09</t>
        </is>
      </c>
      <c r="K14" s="37" t="inlineStr">
        <is>
          <t>2026-03-09</t>
        </is>
      </c>
      <c r="L14" s="38" t="inlineStr">
        <is>
          <t>Successful</t>
        </is>
      </c>
      <c r="M14" s="37" t="inlineStr">
        <is>
          <t>Yes</t>
        </is>
      </c>
    </row>
    <row r="15" ht="20" customHeight="1">
      <c r="A15" s="72" t="inlineStr">
        <is>
          <t>RFC-2026-006</t>
        </is>
      </c>
      <c r="B15" s="37" t="inlineStr">
        <is>
          <t>2026-03-08</t>
        </is>
      </c>
      <c r="C15" s="36" t="inlineStr">
        <is>
          <t>Kubernetes Cluster Node Pool Upgrade to v1.30</t>
        </is>
      </c>
      <c r="D15" s="37" t="inlineStr">
        <is>
          <t>Normal</t>
        </is>
      </c>
      <c r="E15" s="37" t="inlineStr">
        <is>
          <t>Medium</t>
        </is>
      </c>
      <c r="F15" s="36" t="inlineStr">
        <is>
          <t>Customer Mobile App API</t>
        </is>
      </c>
      <c r="G15" s="36" t="inlineStr">
        <is>
          <t>Alex Kurniawan</t>
        </is>
      </c>
      <c r="H15" s="36" t="inlineStr">
        <is>
          <t>DevOps Lead</t>
        </is>
      </c>
      <c r="I15" s="73" t="inlineStr">
        <is>
          <t>Under Review</t>
        </is>
      </c>
      <c r="J15" s="37" t="inlineStr">
        <is>
          <t>2026-03-15</t>
        </is>
      </c>
      <c r="K15" s="37" t="inlineStr"/>
      <c r="L15" s="75" t="inlineStr">
        <is>
          <t>Scheduled</t>
        </is>
      </c>
      <c r="M15" s="37" t="inlineStr">
        <is>
          <t>Yes</t>
        </is>
      </c>
    </row>
    <row r="16" ht="20" customHeight="1">
      <c r="A16" s="72" t="inlineStr">
        <is>
          <t>RFC-2026-007</t>
        </is>
      </c>
      <c r="B16" s="37" t="inlineStr">
        <is>
          <t>2026-03-09</t>
        </is>
      </c>
      <c r="C16" s="36" t="inlineStr">
        <is>
          <t>SAP S/4HANA Finance Module Service Pack 4</t>
        </is>
      </c>
      <c r="D16" s="37" t="inlineStr">
        <is>
          <t>Normal</t>
        </is>
      </c>
      <c r="E16" s="73" t="inlineStr">
        <is>
          <t>High</t>
        </is>
      </c>
      <c r="F16" s="36" t="inlineStr">
        <is>
          <t>Enterprise SAP ERP</t>
        </is>
      </c>
      <c r="G16" s="36" t="inlineStr">
        <is>
          <t>Alex Kurniawan</t>
        </is>
      </c>
      <c r="H16" s="36" t="inlineStr">
        <is>
          <t>Finance Systems Lead</t>
        </is>
      </c>
      <c r="I16" s="73" t="inlineStr">
        <is>
          <t>Under Review</t>
        </is>
      </c>
      <c r="J16" s="37" t="inlineStr">
        <is>
          <t>2026-03-22</t>
        </is>
      </c>
      <c r="K16" s="37" t="inlineStr"/>
      <c r="L16" s="75" t="inlineStr">
        <is>
          <t>Scheduled</t>
        </is>
      </c>
      <c r="M16" s="37" t="inlineStr">
        <is>
          <t>Yes</t>
        </is>
      </c>
    </row>
    <row r="17" ht="20" customHeight="1">
      <c r="A17" s="72" t="inlineStr">
        <is>
          <t>RFC-2026-008</t>
        </is>
      </c>
      <c r="B17" s="37" t="inlineStr">
        <is>
          <t>2026-03-10</t>
        </is>
      </c>
      <c r="C17" s="36" t="inlineStr">
        <is>
          <t>Zscaler Cloud Web Proxy Global Agent Rollout</t>
        </is>
      </c>
      <c r="D17" s="37" t="inlineStr">
        <is>
          <t>Normal</t>
        </is>
      </c>
      <c r="E17" s="37" t="inlineStr">
        <is>
          <t>Medium</t>
        </is>
      </c>
      <c r="F17" s="36" t="inlineStr">
        <is>
          <t>All 350 Employee Endpoints</t>
        </is>
      </c>
      <c r="G17" s="36" t="inlineStr">
        <is>
          <t>Siti Rahma</t>
        </is>
      </c>
      <c r="H17" s="36" t="inlineStr">
        <is>
          <t>CISO &amp; Head of Infra</t>
        </is>
      </c>
      <c r="I17" s="73" t="inlineStr">
        <is>
          <t>Under Review</t>
        </is>
      </c>
      <c r="J17" s="37" t="inlineStr">
        <is>
          <t>2026-03-18</t>
        </is>
      </c>
      <c r="K17" s="37" t="inlineStr"/>
      <c r="L17" s="75" t="inlineStr">
        <is>
          <t>Scheduled</t>
        </is>
      </c>
      <c r="M17" s="37" t="inlineStr">
        <is>
          <t>Yes</t>
        </is>
      </c>
    </row>
  </sheetData>
  <mergeCells count="6">
    <mergeCell ref="J3:K3"/>
    <mergeCell ref="A1:M1"/>
    <mergeCell ref="A2:M2"/>
    <mergeCell ref="D3:E3"/>
    <mergeCell ref="A3:B3"/>
    <mergeCell ref="G3:H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3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22" customWidth="1" min="4" max="4"/>
    <col width="38" customWidth="1" min="5" max="5"/>
    <col width="22" customWidth="1" min="6" max="6"/>
    <col width="40" customWidth="1" min="7" max="7"/>
    <col width="34" customWidth="1" min="8" max="8"/>
    <col width="36" customWidth="1" min="9" max="9"/>
    <col width="16" customWidth="1" min="10" max="10"/>
    <col width="16" customWidth="1" min="11" max="11"/>
    <col width="20" customWidth="1" min="12" max="12"/>
  </cols>
  <sheetData>
    <row r="1" ht="36" customHeight="1">
      <c r="A1" s="1" t="inlineStr">
        <is>
          <t>MAJOR INCIDENT &amp; PROBLEM MANAGEMENT (RCA)</t>
        </is>
      </c>
    </row>
    <row r="2" ht="20" customHeight="1">
      <c r="A2" s="2" t="inlineStr">
        <is>
          <t>Root Cause Analysis, Business Impact Assessment, &amp; Permanent Remediation Tracking</t>
        </is>
      </c>
    </row>
    <row r="3" ht="20" customHeight="1">
      <c r="A3" s="39" t="inlineStr">
        <is>
          <t>TOTAL MAJOR INCIDENTS:</t>
        </is>
      </c>
      <c r="C3" s="40">
        <f>COUNTA(A10:A50)</f>
        <v/>
      </c>
      <c r="D3" s="39" t="inlineStr">
        <is>
          <t>TOTAL OUTAGE DURATION:</t>
        </is>
      </c>
      <c r="F3" s="76">
        <f>SUM(J10:J50)&amp;" Mins"</f>
        <v/>
      </c>
      <c r="G3" s="39" t="inlineStr">
        <is>
          <t>RCAS COMPLETED:</t>
        </is>
      </c>
      <c r="I3" s="70">
        <f>COUNTIF(K10:K50, "Closed") + COUNTIF(K10:K50, "Remediated")</f>
        <v/>
      </c>
    </row>
    <row r="9" ht="26" customHeight="1">
      <c r="A9" s="47" t="inlineStr">
        <is>
          <t>Major Inc ID</t>
        </is>
      </c>
      <c r="B9" s="47" t="inlineStr">
        <is>
          <t>Incident Date</t>
        </is>
      </c>
      <c r="C9" s="47" t="inlineStr">
        <is>
          <t>Severity</t>
        </is>
      </c>
      <c r="D9" s="47" t="inlineStr">
        <is>
          <t>Impacted Service</t>
        </is>
      </c>
      <c r="E9" s="47" t="inlineStr">
        <is>
          <t>Business Impact Summary</t>
        </is>
      </c>
      <c r="F9" s="47" t="inlineStr">
        <is>
          <t>Root Cause Category</t>
        </is>
      </c>
      <c r="G9" s="47" t="inlineStr">
        <is>
          <t>Root Cause Analysis (RCA)</t>
        </is>
      </c>
      <c r="H9" s="47" t="inlineStr">
        <is>
          <t>Temporary Workaround</t>
        </is>
      </c>
      <c r="I9" s="47" t="inlineStr">
        <is>
          <t>Permanent Fix Action</t>
        </is>
      </c>
      <c r="J9" s="47" t="inlineStr">
        <is>
          <t>Downtime (Mins)</t>
        </is>
      </c>
      <c r="K9" s="47" t="inlineStr">
        <is>
          <t>Problem Status</t>
        </is>
      </c>
      <c r="L9" s="47" t="inlineStr">
        <is>
          <t>Lead Investigator</t>
        </is>
      </c>
    </row>
    <row r="10" ht="24" customHeight="1">
      <c r="A10" s="77" t="inlineStr">
        <is>
          <t>MAJ-2026-01</t>
        </is>
      </c>
      <c r="B10" s="78" t="inlineStr">
        <is>
          <t>2026-01-14</t>
        </is>
      </c>
      <c r="C10" s="79" t="inlineStr">
        <is>
          <t>P1 - Critical</t>
        </is>
      </c>
      <c r="D10" s="80" t="inlineStr">
        <is>
          <t>Enterprise ERP</t>
        </is>
      </c>
      <c r="E10" s="80" t="inlineStr">
        <is>
          <t>Finance unable to post invoices; warehouse dispatch stalled</t>
        </is>
      </c>
      <c r="F10" s="80" t="inlineStr">
        <is>
          <t>Infrastructure</t>
        </is>
      </c>
      <c r="G10" s="80" t="inlineStr">
        <is>
          <t>Storage volume IOPS exhausted due to unindexed batch query</t>
        </is>
      </c>
      <c r="H10" s="80" t="inlineStr">
        <is>
          <t>Increased EBS volume IOPS allocation dynamically</t>
        </is>
      </c>
      <c r="I10" s="80" t="inlineStr">
        <is>
          <t>Created database query index and restricted large exports</t>
        </is>
      </c>
      <c r="J10" s="81" t="n">
        <v>45</v>
      </c>
      <c r="K10" s="82" t="inlineStr">
        <is>
          <t>Remediated</t>
        </is>
      </c>
      <c r="L10" s="80" t="inlineStr">
        <is>
          <t>Alex Kurniawan</t>
        </is>
      </c>
    </row>
    <row r="11" ht="24" customHeight="1">
      <c r="A11" s="77" t="inlineStr">
        <is>
          <t>MAJ-2026-02</t>
        </is>
      </c>
      <c r="B11" s="78" t="inlineStr">
        <is>
          <t>2026-02-03</t>
        </is>
      </c>
      <c r="C11" s="83" t="inlineStr">
        <is>
          <t>P2 - Major</t>
        </is>
      </c>
      <c r="D11" s="80" t="inlineStr">
        <is>
          <t>Corporate VPN</t>
        </is>
      </c>
      <c r="E11" s="80" t="inlineStr">
        <is>
          <t>120 remote staff unable to access intranet applications</t>
        </is>
      </c>
      <c r="F11" s="80" t="inlineStr">
        <is>
          <t>Network Configuration</t>
        </is>
      </c>
      <c r="G11" s="80" t="inlineStr">
        <is>
          <t>ISP routing table loop following upstream BGP update</t>
        </is>
      </c>
      <c r="H11" s="80" t="inlineStr">
        <is>
          <t>Switched primary traffic to secondary backup leased line</t>
        </is>
      </c>
      <c r="I11" s="80" t="inlineStr">
        <is>
          <t>Implemented automated BGP route health monitoring</t>
        </is>
      </c>
      <c r="J11" s="81" t="n">
        <v>30</v>
      </c>
      <c r="K11" s="82" t="inlineStr">
        <is>
          <t>Remediated</t>
        </is>
      </c>
      <c r="L11" s="80" t="inlineStr">
        <is>
          <t>Rian Pratama</t>
        </is>
      </c>
    </row>
    <row r="12" ht="24" customHeight="1">
      <c r="A12" s="77" t="inlineStr">
        <is>
          <t>MAJ-2026-03</t>
        </is>
      </c>
      <c r="B12" s="78" t="inlineStr">
        <is>
          <t>2026-02-18</t>
        </is>
      </c>
      <c r="C12" s="83" t="inlineStr">
        <is>
          <t>P2 - Major</t>
        </is>
      </c>
      <c r="D12" s="80" t="inlineStr">
        <is>
          <t>Customer Payment Gateway</t>
        </is>
      </c>
      <c r="E12" s="80" t="inlineStr">
        <is>
          <t>15% checkout transaction failure rate on mobile app</t>
        </is>
      </c>
      <c r="F12" s="80" t="inlineStr">
        <is>
          <t>Third-Party Vendor</t>
        </is>
      </c>
      <c r="G12" s="80" t="inlineStr">
        <is>
          <t>Bank API gateway latency spike exceeding 15,000ms</t>
        </is>
      </c>
      <c r="H12" s="80" t="inlineStr">
        <is>
          <t>Enabled failover route to secondary payment provider</t>
        </is>
      </c>
      <c r="I12" s="80" t="inlineStr">
        <is>
          <t>Tuned circuit-breaker threshold in payment microservice</t>
        </is>
      </c>
      <c r="J12" s="81" t="n">
        <v>25</v>
      </c>
      <c r="K12" s="82" t="inlineStr">
        <is>
          <t>Remediated</t>
        </is>
      </c>
      <c r="L12" s="80" t="inlineStr">
        <is>
          <t>Alex Kurniawan</t>
        </is>
      </c>
    </row>
    <row r="13" ht="24" customHeight="1">
      <c r="A13" s="77" t="inlineStr">
        <is>
          <t>MAJ-2026-04</t>
        </is>
      </c>
      <c r="B13" s="78" t="inlineStr">
        <is>
          <t>2026-03-05</t>
        </is>
      </c>
      <c r="C13" s="79" t="inlineStr">
        <is>
          <t>P1 - Critical</t>
        </is>
      </c>
      <c r="D13" s="80" t="inlineStr">
        <is>
          <t>Internal Active Directory</t>
        </is>
      </c>
      <c r="E13" s="80" t="inlineStr">
        <is>
          <t>User authentication failure across domain-joined laptops</t>
        </is>
      </c>
      <c r="F13" s="80" t="inlineStr">
        <is>
          <t>Human Error</t>
        </is>
      </c>
      <c r="G13" s="80" t="inlineStr">
        <is>
          <t>Corrupt group policy object deployed during unscheduled test</t>
        </is>
      </c>
      <c r="H13" s="80" t="inlineStr">
        <is>
          <t>Restored AD GPO backup from previous night snapshot</t>
        </is>
      </c>
      <c r="I13" s="80" t="inlineStr">
        <is>
          <t>Enforced strict change authorization on domain controller GPOs</t>
        </is>
      </c>
      <c r="J13" s="81" t="n">
        <v>35</v>
      </c>
      <c r="K13" s="82" t="inlineStr">
        <is>
          <t>Closed</t>
        </is>
      </c>
      <c r="L13" s="80" t="inlineStr">
        <is>
          <t>Siti Rahma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8" customWidth="1" min="3" max="3"/>
    <col width="16" customWidth="1" min="4" max="4"/>
    <col width="18" customWidth="1" min="5" max="5"/>
    <col width="16" customWidth="1" min="6" max="6"/>
    <col width="16" customWidth="1" min="7" max="7"/>
    <col width="14" customWidth="1" min="8" max="8"/>
    <col width="24" customWidth="1" min="9" max="9"/>
    <col width="18" customWidth="1" min="10" max="10"/>
  </cols>
  <sheetData>
    <row r="1" ht="36" customHeight="1">
      <c r="A1" s="1" t="inlineStr">
        <is>
          <t>CORE INFRASTRUCTURE AVAILABILITY &amp; SLA MONITORING</t>
        </is>
      </c>
    </row>
    <row r="2" ht="20" customHeight="1">
      <c r="A2" s="2" t="inlineStr">
        <is>
          <t>Tier 1 - Tier 3 Service Uptime, Downtime Minutes, &amp; SLA Adherence</t>
        </is>
      </c>
    </row>
    <row r="3" ht="20" customHeight="1">
      <c r="A3" s="39" t="inlineStr">
        <is>
          <t>OVERALL UPTIME %:</t>
        </is>
      </c>
      <c r="C3" s="84">
        <f>AVERAGE(F10:F25)</f>
        <v/>
      </c>
      <c r="D3" s="39" t="inlineStr">
        <is>
          <t>TOTAL OUTAGE MINS:</t>
        </is>
      </c>
      <c r="F3" s="85">
        <f>SUM(D10:D25)</f>
        <v/>
      </c>
      <c r="G3" s="39" t="inlineStr">
        <is>
          <t>SLA COMPLIANT SYSTEMS:</t>
        </is>
      </c>
      <c r="I3" s="40">
        <f>COUNTIF(G10:G25, "Compliant")&amp;" / "&amp;COUNTA(A10:A25)</f>
        <v/>
      </c>
    </row>
    <row r="9" ht="26" customHeight="1">
      <c r="A9" s="47" t="inlineStr">
        <is>
          <t>System / Service Name</t>
        </is>
      </c>
      <c r="B9" s="47" t="inlineStr">
        <is>
          <t>Service Tier</t>
        </is>
      </c>
      <c r="C9" s="47" t="inlineStr">
        <is>
          <t>Hosting Environment</t>
        </is>
      </c>
      <c r="D9" s="47" t="inlineStr">
        <is>
          <t>Outage Mins (Mo)</t>
        </is>
      </c>
      <c r="E9" s="47" t="inlineStr">
        <is>
          <t>Total Mins in Month</t>
        </is>
      </c>
      <c r="F9" s="47" t="inlineStr">
        <is>
          <t>Actual Uptime %</t>
        </is>
      </c>
      <c r="G9" s="47" t="inlineStr">
        <is>
          <t>SLA Status</t>
        </is>
      </c>
      <c r="H9" s="47" t="inlineStr">
        <is>
          <t>Target SLA %</t>
        </is>
      </c>
      <c r="I9" s="47" t="inlineStr">
        <is>
          <t>Monitoring Tool</t>
        </is>
      </c>
      <c r="J9" s="47" t="inlineStr">
        <is>
          <t>Service Owner</t>
        </is>
      </c>
    </row>
    <row r="10" ht="20" customHeight="1">
      <c r="A10" s="59" t="inlineStr">
        <is>
          <t>Core Enterprise ERP (SAP)</t>
        </is>
      </c>
      <c r="B10" s="60" t="inlineStr">
        <is>
          <t>Tier 1 - Mission Critical</t>
        </is>
      </c>
      <c r="C10" s="49" t="inlineStr">
        <is>
          <t>AWS Cloud (ap-southeast-1)</t>
        </is>
      </c>
      <c r="D10" s="86" t="n">
        <v>45</v>
      </c>
      <c r="E10" s="87" t="n">
        <v>43200</v>
      </c>
      <c r="F10" s="88">
        <f>(E10-D10)/E10</f>
        <v/>
      </c>
      <c r="G10" s="54">
        <f>IF(F10&gt;=H10, "Compliant", "Breached")</f>
        <v/>
      </c>
      <c r="H10" s="89" t="n">
        <v>0.999</v>
      </c>
      <c r="I10" s="49" t="inlineStr">
        <is>
          <t>Datadog &amp; CloudWatch</t>
        </is>
      </c>
      <c r="J10" s="49" t="inlineStr">
        <is>
          <t>Alex Kurniawan</t>
        </is>
      </c>
    </row>
    <row r="11" ht="20" customHeight="1">
      <c r="A11" s="59" t="inlineStr">
        <is>
          <t>Customer Facing E-Commerce API</t>
        </is>
      </c>
      <c r="B11" s="60" t="inlineStr">
        <is>
          <t>Tier 1 - Mission Critical</t>
        </is>
      </c>
      <c r="C11" s="49" t="inlineStr">
        <is>
          <t>AWS EKS Kubernetes</t>
        </is>
      </c>
      <c r="D11" s="86" t="n">
        <v>12</v>
      </c>
      <c r="E11" s="87" t="n">
        <v>43200</v>
      </c>
      <c r="F11" s="88">
        <f>(E11-D11)/E11</f>
        <v/>
      </c>
      <c r="G11" s="54">
        <f>IF(F11&gt;=H11, "Compliant", "Breached")</f>
        <v/>
      </c>
      <c r="H11" s="89" t="n">
        <v>0.9995000000000001</v>
      </c>
      <c r="I11" s="49" t="inlineStr">
        <is>
          <t>New Relic &amp; Prometheus</t>
        </is>
      </c>
      <c r="J11" s="49" t="inlineStr">
        <is>
          <t>Alex Kurniawan</t>
        </is>
      </c>
    </row>
    <row r="12" ht="20" customHeight="1">
      <c r="A12" s="59" t="inlineStr">
        <is>
          <t>Corporate Active Directory / IAM</t>
        </is>
      </c>
      <c r="B12" s="60" t="inlineStr">
        <is>
          <t>Tier 1 - Mission Critical</t>
        </is>
      </c>
      <c r="C12" s="49" t="inlineStr">
        <is>
          <t>Azure Entra &amp; On-Prem Hybrid</t>
        </is>
      </c>
      <c r="D12" s="86" t="n">
        <v>35</v>
      </c>
      <c r="E12" s="87" t="n">
        <v>43200</v>
      </c>
      <c r="F12" s="88">
        <f>(E12-D12)/E12</f>
        <v/>
      </c>
      <c r="G12" s="54">
        <f>IF(F12&gt;=H12, "Compliant", "Breached")</f>
        <v/>
      </c>
      <c r="H12" s="89" t="n">
        <v>0.999</v>
      </c>
      <c r="I12" s="49" t="inlineStr">
        <is>
          <t>Microsoft Defender / SCOM</t>
        </is>
      </c>
      <c r="J12" s="49" t="inlineStr">
        <is>
          <t>Siti Rahma</t>
        </is>
      </c>
    </row>
    <row r="13" ht="20" customHeight="1">
      <c r="A13" s="59" t="inlineStr">
        <is>
          <t>Corporate Email (Google Workspace)</t>
        </is>
      </c>
      <c r="B13" s="60" t="inlineStr">
        <is>
          <t>Tier 1 - Mission Critical</t>
        </is>
      </c>
      <c r="C13" s="49" t="inlineStr">
        <is>
          <t>Google Cloud SaaS</t>
        </is>
      </c>
      <c r="D13" s="86" t="n">
        <v>0</v>
      </c>
      <c r="E13" s="87" t="n">
        <v>43200</v>
      </c>
      <c r="F13" s="88">
        <f>(E13-D13)/E13</f>
        <v/>
      </c>
      <c r="G13" s="54">
        <f>IF(F13&gt;=H13, "Compliant", "Breached")</f>
        <v/>
      </c>
      <c r="H13" s="89" t="n">
        <v>0.999</v>
      </c>
      <c r="I13" s="49" t="inlineStr">
        <is>
          <t>Google Admin Console</t>
        </is>
      </c>
      <c r="J13" s="49" t="inlineStr">
        <is>
          <t>Siti Rahma</t>
        </is>
      </c>
    </row>
    <row r="14" ht="20" customHeight="1">
      <c r="A14" s="59" t="inlineStr">
        <is>
          <t>Perimeter Firewall &amp; Secure VPN</t>
        </is>
      </c>
      <c r="B14" s="60" t="inlineStr">
        <is>
          <t>Tier 1 - Mission Critical</t>
        </is>
      </c>
      <c r="C14" s="49" t="inlineStr">
        <is>
          <t>On-Premises Data Center</t>
        </is>
      </c>
      <c r="D14" s="86" t="n">
        <v>30</v>
      </c>
      <c r="E14" s="87" t="n">
        <v>43200</v>
      </c>
      <c r="F14" s="88">
        <f>(E14-D14)/E14</f>
        <v/>
      </c>
      <c r="G14" s="54">
        <f>IF(F14&gt;=H14, "Compliant", "Breached")</f>
        <v/>
      </c>
      <c r="H14" s="89" t="n">
        <v>0.999</v>
      </c>
      <c r="I14" s="49" t="inlineStr">
        <is>
          <t>FortiAnalyzer &amp; PRTG</t>
        </is>
      </c>
      <c r="J14" s="49" t="inlineStr">
        <is>
          <t>Rian Pratama</t>
        </is>
      </c>
    </row>
    <row r="15" ht="20" customHeight="1">
      <c r="A15" s="59" t="inlineStr">
        <is>
          <t>Internal File Server &amp; NAS</t>
        </is>
      </c>
      <c r="B15" s="60" t="inlineStr">
        <is>
          <t>Tier 2 - Business Important</t>
        </is>
      </c>
      <c r="C15" s="49" t="inlineStr">
        <is>
          <t>On-Premises Synology NAS</t>
        </is>
      </c>
      <c r="D15" s="86" t="n">
        <v>20</v>
      </c>
      <c r="E15" s="87" t="n">
        <v>43200</v>
      </c>
      <c r="F15" s="88">
        <f>(E15-D15)/E15</f>
        <v/>
      </c>
      <c r="G15" s="54">
        <f>IF(F15&gt;=H15, "Compliant", "Breached")</f>
        <v/>
      </c>
      <c r="H15" s="89" t="n">
        <v>0.995</v>
      </c>
      <c r="I15" s="49" t="inlineStr">
        <is>
          <t>PRTG Network Monitor</t>
        </is>
      </c>
      <c r="J15" s="49" t="inlineStr">
        <is>
          <t>Kevin Sanjaya</t>
        </is>
      </c>
    </row>
    <row r="16" ht="20" customHeight="1">
      <c r="A16" s="59" t="inlineStr">
        <is>
          <t>HRIS Portal (Workday)</t>
        </is>
      </c>
      <c r="B16" s="60" t="inlineStr">
        <is>
          <t>Tier 2 - Business Important</t>
        </is>
      </c>
      <c r="C16" s="49" t="inlineStr">
        <is>
          <t>Cloud SaaS</t>
        </is>
      </c>
      <c r="D16" s="86" t="n">
        <v>0</v>
      </c>
      <c r="E16" s="87" t="n">
        <v>43200</v>
      </c>
      <c r="F16" s="88">
        <f>(E16-D16)/E16</f>
        <v/>
      </c>
      <c r="G16" s="54">
        <f>IF(F16&gt;=H16, "Compliant", "Breached")</f>
        <v/>
      </c>
      <c r="H16" s="89" t="n">
        <v>0.995</v>
      </c>
      <c r="I16" s="49" t="inlineStr">
        <is>
          <t>Workday Status API</t>
        </is>
      </c>
      <c r="J16" s="49" t="inlineStr">
        <is>
          <t>Siti Rahma</t>
        </is>
      </c>
    </row>
    <row r="17" ht="20" customHeight="1">
      <c r="A17" s="59" t="inlineStr">
        <is>
          <t>Customer Support Desk (Zendesk)</t>
        </is>
      </c>
      <c r="B17" s="60" t="inlineStr">
        <is>
          <t>Tier 2 - Business Important</t>
        </is>
      </c>
      <c r="C17" s="49" t="inlineStr">
        <is>
          <t>Cloud SaaS</t>
        </is>
      </c>
      <c r="D17" s="86" t="n">
        <v>0</v>
      </c>
      <c r="E17" s="87" t="n">
        <v>43200</v>
      </c>
      <c r="F17" s="88">
        <f>(E17-D17)/E17</f>
        <v/>
      </c>
      <c r="G17" s="54">
        <f>IF(F17&gt;=H17, "Compliant", "Breached")</f>
        <v/>
      </c>
      <c r="H17" s="89" t="n">
        <v>0.995</v>
      </c>
      <c r="I17" s="49" t="inlineStr">
        <is>
          <t>Zendesk Status</t>
        </is>
      </c>
      <c r="J17" s="49" t="inlineStr">
        <is>
          <t>Alex Kurniawan</t>
        </is>
      </c>
    </row>
    <row r="18" ht="20" customHeight="1">
      <c r="A18" s="59" t="inlineStr">
        <is>
          <t>Corporate Website &amp; CMS</t>
        </is>
      </c>
      <c r="B18" s="60" t="inlineStr">
        <is>
          <t>Tier 2 - Business Important</t>
        </is>
      </c>
      <c r="C18" s="49" t="inlineStr">
        <is>
          <t>Cloudflare &amp; AWS CloudFront</t>
        </is>
      </c>
      <c r="D18" s="86" t="n">
        <v>5</v>
      </c>
      <c r="E18" s="87" t="n">
        <v>43200</v>
      </c>
      <c r="F18" s="88">
        <f>(E18-D18)/E18</f>
        <v/>
      </c>
      <c r="G18" s="54">
        <f>IF(F18&gt;=H18, "Compliant", "Breached")</f>
        <v/>
      </c>
      <c r="H18" s="89" t="n">
        <v>0.995</v>
      </c>
      <c r="I18" s="49" t="inlineStr">
        <is>
          <t>UptimeRobot</t>
        </is>
      </c>
      <c r="J18" s="49" t="inlineStr">
        <is>
          <t>Alex Kurniawan</t>
        </is>
      </c>
    </row>
    <row r="19" ht="20" customHeight="1">
      <c r="A19" s="59" t="inlineStr">
        <is>
          <t>CI/CD Build Pipelines (GitLab)</t>
        </is>
      </c>
      <c r="B19" s="60" t="inlineStr">
        <is>
          <t>Tier 3 - Internal Support</t>
        </is>
      </c>
      <c r="C19" s="49" t="inlineStr">
        <is>
          <t>AWS EC2 Self-Hosted</t>
        </is>
      </c>
      <c r="D19" s="86" t="n">
        <v>40</v>
      </c>
      <c r="E19" s="87" t="n">
        <v>43200</v>
      </c>
      <c r="F19" s="88">
        <f>(E19-D19)/E19</f>
        <v/>
      </c>
      <c r="G19" s="54">
        <f>IF(F19&gt;=H19, "Compliant", "Breached")</f>
        <v/>
      </c>
      <c r="H19" s="89" t="n">
        <v>0.99</v>
      </c>
      <c r="I19" s="49" t="inlineStr">
        <is>
          <t>GitLab Monitoring</t>
        </is>
      </c>
      <c r="J19" s="49" t="inlineStr">
        <is>
          <t>Rian Pratama</t>
        </is>
      </c>
    </row>
    <row r="20" ht="20" customHeight="1">
      <c r="A20" s="59" t="inlineStr">
        <is>
          <t>Internal Wiki &amp; Jira</t>
        </is>
      </c>
      <c r="B20" s="60" t="inlineStr">
        <is>
          <t>Tier 3 - Internal Support</t>
        </is>
      </c>
      <c r="C20" s="49" t="inlineStr">
        <is>
          <t>Atlassian Cloud</t>
        </is>
      </c>
      <c r="D20" s="86" t="n">
        <v>0</v>
      </c>
      <c r="E20" s="87" t="n">
        <v>43200</v>
      </c>
      <c r="F20" s="88">
        <f>(E20-D20)/E20</f>
        <v/>
      </c>
      <c r="G20" s="54">
        <f>IF(F20&gt;=H20, "Compliant", "Breached")</f>
        <v/>
      </c>
      <c r="H20" s="89" t="n">
        <v>0.99</v>
      </c>
      <c r="I20" s="49" t="inlineStr">
        <is>
          <t>Atlassian Status</t>
        </is>
      </c>
      <c r="J20" s="49" t="inlineStr">
        <is>
          <t>Kevin Sanjaya</t>
        </is>
      </c>
    </row>
    <row r="21" ht="20" customHeight="1">
      <c r="A21" s="59" t="inlineStr">
        <is>
          <t>Network CCTV &amp; Badge Access</t>
        </is>
      </c>
      <c r="B21" s="60" t="inlineStr">
        <is>
          <t>Tier 3 - Internal Support</t>
        </is>
      </c>
      <c r="C21" s="49" t="inlineStr">
        <is>
          <t>On-Premises IoT VLAN</t>
        </is>
      </c>
      <c r="D21" s="86" t="n">
        <v>0</v>
      </c>
      <c r="E21" s="87" t="n">
        <v>43200</v>
      </c>
      <c r="F21" s="88">
        <f>(E21-D21)/E21</f>
        <v/>
      </c>
      <c r="G21" s="54">
        <f>IF(F21&gt;=H21, "Compliant", "Breached")</f>
        <v/>
      </c>
      <c r="H21" s="89" t="n">
        <v>0.99</v>
      </c>
      <c r="I21" s="49" t="inlineStr">
        <is>
          <t>HikCentral &amp; PRTG</t>
        </is>
      </c>
      <c r="J21" s="49" t="inlineStr">
        <is>
          <t>Kevin Sanjaya</t>
        </is>
      </c>
    </row>
  </sheetData>
  <mergeCells count="5">
    <mergeCell ref="A1:J1"/>
    <mergeCell ref="A2:J2"/>
    <mergeCell ref="D3:E3"/>
    <mergeCell ref="A3:B3"/>
    <mergeCell ref="G3:H3"/>
  </mergeCells>
  <conditionalFormatting sqref="G10:G25">
    <cfRule type="cellIs" priority="1" operator="equal" dxfId="0" stopIfTrue="1">
      <formula>"Compliant"</formula>
    </cfRule>
    <cfRule type="cellIs" priority="2" operator="equal" dxfId="1" stopIfTrue="1">
      <formula>"Breached"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2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32" customWidth="1" min="4" max="4"/>
    <col width="18" customWidth="1" min="5" max="5"/>
    <col width="24" customWidth="1" min="6" max="6"/>
    <col width="20" customWidth="1" min="7" max="7"/>
    <col width="14" customWidth="1" min="8" max="8"/>
    <col width="14" customWidth="1" min="9" max="9"/>
    <col width="14" customWidth="1" min="10" max="10"/>
    <col width="12" customWidth="1" min="11" max="11"/>
    <col width="18" customWidth="1" min="12" max="12"/>
    <col width="16" customWidth="1" min="13" max="13"/>
    <col width="18" customWidth="1" min="14" max="14"/>
    <col width="18" customWidth="1" min="15" max="15"/>
  </cols>
  <sheetData>
    <row r="1" ht="36" customHeight="1">
      <c r="A1" s="1" t="inlineStr">
        <is>
          <t>IT ASSET MANAGEMENT (ITAM) &amp; HARDWARE LIFECYCLE</t>
        </is>
      </c>
    </row>
    <row r="2" ht="20" customHeight="1">
      <c r="A2" s="2" t="inlineStr">
        <is>
          <t>Hardware Registry, Depreciation, Warranty Status, &amp; Asset Allocation Tracking</t>
        </is>
      </c>
    </row>
    <row r="3" ht="20" customHeight="1">
      <c r="A3" s="39" t="inlineStr">
        <is>
          <t>TOTAL HARDWARE ASSETS:</t>
        </is>
      </c>
      <c r="C3" s="40">
        <f>COUNTA(A10:A80)</f>
        <v/>
      </c>
      <c r="D3" s="39" t="inlineStr">
        <is>
          <t>TOTAL PURCHASE VALUE:</t>
        </is>
      </c>
      <c r="F3" s="90">
        <f>SUM(I10:I80)</f>
        <v/>
      </c>
      <c r="G3" s="39" t="inlineStr">
        <is>
          <t>CURRENT BOOK VALUE:</t>
        </is>
      </c>
      <c r="I3" s="91">
        <f>SUM(L10:L80)</f>
        <v/>
      </c>
      <c r="J3" s="39" t="inlineStr">
        <is>
          <t>ACTIVE ASSETS:</t>
        </is>
      </c>
      <c r="L3" s="40">
        <f>COUNTIF(O10:O80, "Active")</f>
        <v/>
      </c>
    </row>
    <row r="9" ht="26" customHeight="1">
      <c r="A9" s="47" t="inlineStr">
        <is>
          <t>Asset Tag</t>
        </is>
      </c>
      <c r="B9" s="47" t="inlineStr">
        <is>
          <t>Asset Type</t>
        </is>
      </c>
      <c r="C9" s="47" t="inlineStr">
        <is>
          <t>Manufacturer</t>
        </is>
      </c>
      <c r="D9" s="47" t="inlineStr">
        <is>
          <t>Model Specification</t>
        </is>
      </c>
      <c r="E9" s="47" t="inlineStr">
        <is>
          <t>Serial Number</t>
        </is>
      </c>
      <c r="F9" s="47" t="inlineStr">
        <is>
          <t>Assigned User</t>
        </is>
      </c>
      <c r="G9" s="47" t="inlineStr">
        <is>
          <t>Department</t>
        </is>
      </c>
      <c r="H9" s="47" t="inlineStr">
        <is>
          <t>Purchase Date</t>
        </is>
      </c>
      <c r="I9" s="47" t="inlineStr">
        <is>
          <t>Cost ($)</t>
        </is>
      </c>
      <c r="J9" s="47" t="inlineStr">
        <is>
          <t>Useful Life (Yrs)</t>
        </is>
      </c>
      <c r="K9" s="47" t="inlineStr">
        <is>
          <t>Age (Yrs)</t>
        </is>
      </c>
      <c r="L9" s="47" t="inlineStr">
        <is>
          <t>Current Book Value ($)</t>
        </is>
      </c>
      <c r="M9" s="47" t="inlineStr">
        <is>
          <t>Warranty Expiry</t>
        </is>
      </c>
      <c r="N9" s="47" t="inlineStr">
        <is>
          <t>Warranty Status</t>
        </is>
      </c>
      <c r="O9" s="47" t="inlineStr">
        <is>
          <t>Asset Status</t>
        </is>
      </c>
    </row>
    <row r="10" ht="20" customHeight="1">
      <c r="A10" s="48" t="inlineStr">
        <is>
          <t>AST-LAP-001</t>
        </is>
      </c>
      <c r="B10" s="49" t="inlineStr">
        <is>
          <t>Laptop</t>
        </is>
      </c>
      <c r="C10" s="49" t="inlineStr">
        <is>
          <t>Apple</t>
        </is>
      </c>
      <c r="D10" s="49" t="inlineStr">
        <is>
          <t>MacBook Pro 16 M3 Pro 36GB</t>
        </is>
      </c>
      <c r="E10" s="49" t="inlineStr">
        <is>
          <t>C02G90JPMD6R</t>
        </is>
      </c>
      <c r="F10" s="49" t="inlineStr">
        <is>
          <t>Alex Kurniawan</t>
        </is>
      </c>
      <c r="G10" s="49" t="inlineStr">
        <is>
          <t>IT Engineering</t>
        </is>
      </c>
      <c r="H10" s="49" t="inlineStr">
        <is>
          <t>2024-01-15</t>
        </is>
      </c>
      <c r="I10" s="92" t="n">
        <v>2899</v>
      </c>
      <c r="J10" s="93" t="n">
        <v>4</v>
      </c>
      <c r="K10" s="52">
        <f>ROUND((TODAY()-DATEVALUE(H10))/365.25, 1)</f>
        <v/>
      </c>
      <c r="L10" s="94">
        <f>MAX(0, ROUND(I10*(1-K10/J10), 0))</f>
        <v/>
      </c>
      <c r="M10" s="49" t="inlineStr">
        <is>
          <t>2027-01-15</t>
        </is>
      </c>
      <c r="N10" s="54">
        <f>IF(DATEVALUE(M10)&gt;TODAY(), "Active Warranty", "Expired")</f>
        <v/>
      </c>
      <c r="O10" s="51" t="inlineStr">
        <is>
          <t>Active</t>
        </is>
      </c>
    </row>
    <row r="11" ht="20" customHeight="1">
      <c r="A11" s="48" t="inlineStr">
        <is>
          <t>AST-LAP-002</t>
        </is>
      </c>
      <c r="B11" s="49" t="inlineStr">
        <is>
          <t>Laptop</t>
        </is>
      </c>
      <c r="C11" s="49" t="inlineStr">
        <is>
          <t>Lenovo</t>
        </is>
      </c>
      <c r="D11" s="49" t="inlineStr">
        <is>
          <t>ThinkPad T14s Gen 4 i7 32GB</t>
        </is>
      </c>
      <c r="E11" s="49" t="inlineStr">
        <is>
          <t>PF3XK912</t>
        </is>
      </c>
      <c r="F11" s="49" t="inlineStr">
        <is>
          <t>Budi Santoso</t>
        </is>
      </c>
      <c r="G11" s="49" t="inlineStr">
        <is>
          <t>Finance</t>
        </is>
      </c>
      <c r="H11" s="49" t="inlineStr">
        <is>
          <t>2023-08-10</t>
        </is>
      </c>
      <c r="I11" s="92" t="n">
        <v>1750</v>
      </c>
      <c r="J11" s="93" t="n">
        <v>4</v>
      </c>
      <c r="K11" s="52">
        <f>ROUND((TODAY()-DATEVALUE(H11))/365.25, 1)</f>
        <v/>
      </c>
      <c r="L11" s="94">
        <f>MAX(0, ROUND(I11*(1-K11/J11), 0))</f>
        <v/>
      </c>
      <c r="M11" s="49" t="inlineStr">
        <is>
          <t>2026-08-10</t>
        </is>
      </c>
      <c r="N11" s="54">
        <f>IF(DATEVALUE(M11)&gt;TODAY(), "Active Warranty", "Expired")</f>
        <v/>
      </c>
      <c r="O11" s="51" t="inlineStr">
        <is>
          <t>Active</t>
        </is>
      </c>
    </row>
    <row r="12" ht="20" customHeight="1">
      <c r="A12" s="48" t="inlineStr">
        <is>
          <t>AST-LAP-003</t>
        </is>
      </c>
      <c r="B12" s="49" t="inlineStr">
        <is>
          <t>Laptop</t>
        </is>
      </c>
      <c r="C12" s="49" t="inlineStr">
        <is>
          <t>Dell</t>
        </is>
      </c>
      <c r="D12" s="49" t="inlineStr">
        <is>
          <t>Latitude 5440 i5 16GB</t>
        </is>
      </c>
      <c r="E12" s="49" t="inlineStr">
        <is>
          <t>8KMQ7Z3</t>
        </is>
      </c>
      <c r="F12" s="49" t="inlineStr">
        <is>
          <t>Dewi Lestari</t>
        </is>
      </c>
      <c r="G12" s="49" t="inlineStr">
        <is>
          <t>HR</t>
        </is>
      </c>
      <c r="H12" s="49" t="inlineStr">
        <is>
          <t>2023-11-05</t>
        </is>
      </c>
      <c r="I12" s="92" t="n">
        <v>1250</v>
      </c>
      <c r="J12" s="93" t="n">
        <v>4</v>
      </c>
      <c r="K12" s="52">
        <f>ROUND((TODAY()-DATEVALUE(H12))/365.25, 1)</f>
        <v/>
      </c>
      <c r="L12" s="94">
        <f>MAX(0, ROUND(I12*(1-K12/J12), 0))</f>
        <v/>
      </c>
      <c r="M12" s="49" t="inlineStr">
        <is>
          <t>2026-11-05</t>
        </is>
      </c>
      <c r="N12" s="54">
        <f>IF(DATEVALUE(M12)&gt;TODAY(), "Active Warranty", "Expired")</f>
        <v/>
      </c>
      <c r="O12" s="51" t="inlineStr">
        <is>
          <t>Active</t>
        </is>
      </c>
    </row>
    <row r="13" ht="20" customHeight="1">
      <c r="A13" s="48" t="inlineStr">
        <is>
          <t>AST-LAP-004</t>
        </is>
      </c>
      <c r="B13" s="49" t="inlineStr">
        <is>
          <t>Laptop</t>
        </is>
      </c>
      <c r="C13" s="49" t="inlineStr">
        <is>
          <t>Dell</t>
        </is>
      </c>
      <c r="D13" s="49" t="inlineStr">
        <is>
          <t>Latitude 5440 i5 16GB</t>
        </is>
      </c>
      <c r="E13" s="49" t="inlineStr">
        <is>
          <t>4LPW8Y2</t>
        </is>
      </c>
      <c r="F13" s="49" t="inlineStr">
        <is>
          <t>Ahmad Fauzi</t>
        </is>
      </c>
      <c r="G13" s="49" t="inlineStr">
        <is>
          <t>Sales</t>
        </is>
      </c>
      <c r="H13" s="49" t="inlineStr">
        <is>
          <t>2024-02-20</t>
        </is>
      </c>
      <c r="I13" s="92" t="n">
        <v>1250</v>
      </c>
      <c r="J13" s="93" t="n">
        <v>4</v>
      </c>
      <c r="K13" s="52">
        <f>ROUND((TODAY()-DATEVALUE(H13))/365.25, 1)</f>
        <v/>
      </c>
      <c r="L13" s="94">
        <f>MAX(0, ROUND(I13*(1-K13/J13), 0))</f>
        <v/>
      </c>
      <c r="M13" s="49" t="inlineStr">
        <is>
          <t>2027-02-20</t>
        </is>
      </c>
      <c r="N13" s="54">
        <f>IF(DATEVALUE(M13)&gt;TODAY(), "Active Warranty", "Expired")</f>
        <v/>
      </c>
      <c r="O13" s="51" t="inlineStr">
        <is>
          <t>Active</t>
        </is>
      </c>
    </row>
    <row r="14" ht="20" customHeight="1">
      <c r="A14" s="48" t="inlineStr">
        <is>
          <t>AST-LAP-005</t>
        </is>
      </c>
      <c r="B14" s="49" t="inlineStr">
        <is>
          <t>Laptop</t>
        </is>
      </c>
      <c r="C14" s="49" t="inlineStr">
        <is>
          <t>Apple</t>
        </is>
      </c>
      <c r="D14" s="49" t="inlineStr">
        <is>
          <t>MacBook Air 15 M2 16GB</t>
        </is>
      </c>
      <c r="E14" s="49" t="inlineStr">
        <is>
          <t>FVFN90LPQ89M</t>
        </is>
      </c>
      <c r="F14" s="49" t="inlineStr">
        <is>
          <t>Citra Kirana</t>
        </is>
      </c>
      <c r="G14" s="49" t="inlineStr">
        <is>
          <t>Marketing</t>
        </is>
      </c>
      <c r="H14" s="49" t="inlineStr">
        <is>
          <t>2023-09-12</t>
        </is>
      </c>
      <c r="I14" s="92" t="n">
        <v>1499</v>
      </c>
      <c r="J14" s="93" t="n">
        <v>4</v>
      </c>
      <c r="K14" s="52">
        <f>ROUND((TODAY()-DATEVALUE(H14))/365.25, 1)</f>
        <v/>
      </c>
      <c r="L14" s="94">
        <f>MAX(0, ROUND(I14*(1-K14/J14), 0))</f>
        <v/>
      </c>
      <c r="M14" s="49" t="inlineStr">
        <is>
          <t>2026-09-12</t>
        </is>
      </c>
      <c r="N14" s="54">
        <f>IF(DATEVALUE(M14)&gt;TODAY(), "Active Warranty", "Expired")</f>
        <v/>
      </c>
      <c r="O14" s="51" t="inlineStr">
        <is>
          <t>Active</t>
        </is>
      </c>
    </row>
    <row r="15" ht="20" customHeight="1">
      <c r="A15" s="48" t="inlineStr">
        <is>
          <t>AST-SVR-001</t>
        </is>
      </c>
      <c r="B15" s="49" t="inlineStr">
        <is>
          <t>Server</t>
        </is>
      </c>
      <c r="C15" s="49" t="inlineStr">
        <is>
          <t>Dell</t>
        </is>
      </c>
      <c r="D15" s="49" t="inlineStr">
        <is>
          <t>PowerEdge R750 2x Xeon 128GB</t>
        </is>
      </c>
      <c r="E15" s="49" t="inlineStr">
        <is>
          <t>SERV-R750-01</t>
        </is>
      </c>
      <c r="F15" s="49" t="inlineStr">
        <is>
          <t>Data Center Primary</t>
        </is>
      </c>
      <c r="G15" s="49" t="inlineStr">
        <is>
          <t>IT Infrastructure</t>
        </is>
      </c>
      <c r="H15" s="49" t="inlineStr">
        <is>
          <t>2022-04-10</t>
        </is>
      </c>
      <c r="I15" s="92" t="n">
        <v>8500</v>
      </c>
      <c r="J15" s="93" t="n">
        <v>5</v>
      </c>
      <c r="K15" s="52">
        <f>ROUND((TODAY()-DATEVALUE(H15))/365.25, 1)</f>
        <v/>
      </c>
      <c r="L15" s="94">
        <f>MAX(0, ROUND(I15*(1-K15/J15), 0))</f>
        <v/>
      </c>
      <c r="M15" s="49" t="inlineStr">
        <is>
          <t>2027-04-10</t>
        </is>
      </c>
      <c r="N15" s="54">
        <f>IF(DATEVALUE(M15)&gt;TODAY(), "Active Warranty", "Expired")</f>
        <v/>
      </c>
      <c r="O15" s="51" t="inlineStr">
        <is>
          <t>Active</t>
        </is>
      </c>
    </row>
    <row r="16" ht="20" customHeight="1">
      <c r="A16" s="48" t="inlineStr">
        <is>
          <t>AST-SVR-002</t>
        </is>
      </c>
      <c r="B16" s="49" t="inlineStr">
        <is>
          <t>Server</t>
        </is>
      </c>
      <c r="C16" s="49" t="inlineStr">
        <is>
          <t>Dell</t>
        </is>
      </c>
      <c r="D16" s="49" t="inlineStr">
        <is>
          <t>PowerEdge R750 2x Xeon 128GB</t>
        </is>
      </c>
      <c r="E16" s="49" t="inlineStr">
        <is>
          <t>SERV-R750-02</t>
        </is>
      </c>
      <c r="F16" s="49" t="inlineStr">
        <is>
          <t>Data Center Secondary</t>
        </is>
      </c>
      <c r="G16" s="49" t="inlineStr">
        <is>
          <t>IT Infrastructure</t>
        </is>
      </c>
      <c r="H16" s="49" t="inlineStr">
        <is>
          <t>2022-04-10</t>
        </is>
      </c>
      <c r="I16" s="92" t="n">
        <v>8500</v>
      </c>
      <c r="J16" s="93" t="n">
        <v>5</v>
      </c>
      <c r="K16" s="52">
        <f>ROUND((TODAY()-DATEVALUE(H16))/365.25, 1)</f>
        <v/>
      </c>
      <c r="L16" s="94">
        <f>MAX(0, ROUND(I16*(1-K16/J16), 0))</f>
        <v/>
      </c>
      <c r="M16" s="49" t="inlineStr">
        <is>
          <t>2027-04-10</t>
        </is>
      </c>
      <c r="N16" s="54">
        <f>IF(DATEVALUE(M16)&gt;TODAY(), "Active Warranty", "Expired")</f>
        <v/>
      </c>
      <c r="O16" s="51" t="inlineStr">
        <is>
          <t>Active</t>
        </is>
      </c>
    </row>
    <row r="17" ht="20" customHeight="1">
      <c r="A17" s="48" t="inlineStr">
        <is>
          <t>AST-NET-001</t>
        </is>
      </c>
      <c r="B17" s="49" t="inlineStr">
        <is>
          <t>Firewall</t>
        </is>
      </c>
      <c r="C17" s="49" t="inlineStr">
        <is>
          <t>Fortinet</t>
        </is>
      </c>
      <c r="D17" s="49" t="inlineStr">
        <is>
          <t>FortiGate 200F Dual PSU</t>
        </is>
      </c>
      <c r="E17" s="49" t="inlineStr">
        <is>
          <t>FGT200FT22001</t>
        </is>
      </c>
      <c r="F17" s="49" t="inlineStr">
        <is>
          <t>Main Edge Gateway</t>
        </is>
      </c>
      <c r="G17" s="49" t="inlineStr">
        <is>
          <t>IT Infrastructure</t>
        </is>
      </c>
      <c r="H17" s="49" t="inlineStr">
        <is>
          <t>2023-01-20</t>
        </is>
      </c>
      <c r="I17" s="92" t="n">
        <v>6200</v>
      </c>
      <c r="J17" s="93" t="n">
        <v>5</v>
      </c>
      <c r="K17" s="52">
        <f>ROUND((TODAY()-DATEVALUE(H17))/365.25, 1)</f>
        <v/>
      </c>
      <c r="L17" s="94">
        <f>MAX(0, ROUND(I17*(1-K17/J17), 0))</f>
        <v/>
      </c>
      <c r="M17" s="49" t="inlineStr">
        <is>
          <t>2028-01-20</t>
        </is>
      </c>
      <c r="N17" s="54">
        <f>IF(DATEVALUE(M17)&gt;TODAY(), "Active Warranty", "Expired")</f>
        <v/>
      </c>
      <c r="O17" s="51" t="inlineStr">
        <is>
          <t>Active</t>
        </is>
      </c>
    </row>
    <row r="18" ht="20" customHeight="1">
      <c r="A18" s="48" t="inlineStr">
        <is>
          <t>AST-NET-002</t>
        </is>
      </c>
      <c r="B18" s="49" t="inlineStr">
        <is>
          <t>Switch</t>
        </is>
      </c>
      <c r="C18" s="49" t="inlineStr">
        <is>
          <t>Cisco</t>
        </is>
      </c>
      <c r="D18" s="49" t="inlineStr">
        <is>
          <t>Catalyst 9300 48-Port PoE+</t>
        </is>
      </c>
      <c r="E18" s="49" t="inlineStr">
        <is>
          <t>FCW2438L01B</t>
        </is>
      </c>
      <c r="F18" s="49" t="inlineStr">
        <is>
          <t>Floor 4 Switch Rack</t>
        </is>
      </c>
      <c r="G18" s="49" t="inlineStr">
        <is>
          <t>IT Infrastructure</t>
        </is>
      </c>
      <c r="H18" s="49" t="inlineStr">
        <is>
          <t>2022-06-15</t>
        </is>
      </c>
      <c r="I18" s="92" t="n">
        <v>4800</v>
      </c>
      <c r="J18" s="93" t="n">
        <v>5</v>
      </c>
      <c r="K18" s="52">
        <f>ROUND((TODAY()-DATEVALUE(H18))/365.25, 1)</f>
        <v/>
      </c>
      <c r="L18" s="94">
        <f>MAX(0, ROUND(I18*(1-K18/J18), 0))</f>
        <v/>
      </c>
      <c r="M18" s="49" t="inlineStr">
        <is>
          <t>2027-06-15</t>
        </is>
      </c>
      <c r="N18" s="54">
        <f>IF(DATEVALUE(M18)&gt;TODAY(), "Active Warranty", "Expired")</f>
        <v/>
      </c>
      <c r="O18" s="51" t="inlineStr">
        <is>
          <t>Active</t>
        </is>
      </c>
    </row>
    <row r="19" ht="20" customHeight="1">
      <c r="A19" s="48" t="inlineStr">
        <is>
          <t>AST-NET-003</t>
        </is>
      </c>
      <c r="B19" s="49" t="inlineStr">
        <is>
          <t>Access Point</t>
        </is>
      </c>
      <c r="C19" s="49" t="inlineStr">
        <is>
          <t>Aruba</t>
        </is>
      </c>
      <c r="D19" s="49" t="inlineStr">
        <is>
          <t>AP-515 Wi-Fi 6 Unified AP</t>
        </is>
      </c>
      <c r="E19" s="49" t="inlineStr">
        <is>
          <t>CNB0K91204</t>
        </is>
      </c>
      <c r="F19" s="49" t="inlineStr">
        <is>
          <t>Floor 4 Open Area</t>
        </is>
      </c>
      <c r="G19" s="49" t="inlineStr">
        <is>
          <t>IT Infrastructure</t>
        </is>
      </c>
      <c r="H19" s="49" t="inlineStr">
        <is>
          <t>2023-03-10</t>
        </is>
      </c>
      <c r="I19" s="92" t="n">
        <v>850</v>
      </c>
      <c r="J19" s="93" t="n">
        <v>5</v>
      </c>
      <c r="K19" s="52">
        <f>ROUND((TODAY()-DATEVALUE(H19))/365.25, 1)</f>
        <v/>
      </c>
      <c r="L19" s="94">
        <f>MAX(0, ROUND(I19*(1-K19/J19), 0))</f>
        <v/>
      </c>
      <c r="M19" s="49" t="inlineStr">
        <is>
          <t>2028-03-10</t>
        </is>
      </c>
      <c r="N19" s="54">
        <f>IF(DATEVALUE(M19)&gt;TODAY(), "Active Warranty", "Expired")</f>
        <v/>
      </c>
      <c r="O19" s="51" t="inlineStr">
        <is>
          <t>Active</t>
        </is>
      </c>
    </row>
    <row r="20" ht="20" customHeight="1">
      <c r="A20" s="48" t="inlineStr">
        <is>
          <t>AST-LAP-006</t>
        </is>
      </c>
      <c r="B20" s="49" t="inlineStr">
        <is>
          <t>Laptop</t>
        </is>
      </c>
      <c r="C20" s="49" t="inlineStr">
        <is>
          <t>Lenovo</t>
        </is>
      </c>
      <c r="D20" s="49" t="inlineStr">
        <is>
          <t>ThinkPad E14 Gen 2 (Older)</t>
        </is>
      </c>
      <c r="E20" s="49" t="inlineStr">
        <is>
          <t>PF1M9201</t>
        </is>
      </c>
      <c r="F20" s="49" t="inlineStr">
        <is>
          <t>IT Spare Pool</t>
        </is>
      </c>
      <c r="G20" s="49" t="inlineStr">
        <is>
          <t>IT Support</t>
        </is>
      </c>
      <c r="H20" s="49" t="inlineStr">
        <is>
          <t>2021-02-14</t>
        </is>
      </c>
      <c r="I20" s="92" t="n">
        <v>950</v>
      </c>
      <c r="J20" s="93" t="n">
        <v>3</v>
      </c>
      <c r="K20" s="52">
        <f>ROUND((TODAY()-DATEVALUE(H20))/365.25, 1)</f>
        <v/>
      </c>
      <c r="L20" s="94">
        <f>MAX(0, ROUND(I20*(1-K20/J20), 0))</f>
        <v/>
      </c>
      <c r="M20" s="49" t="inlineStr">
        <is>
          <t>2024-02-14</t>
        </is>
      </c>
      <c r="N20" s="54">
        <f>IF(DATEVALUE(M20)&gt;TODAY(), "Active Warranty", "Expired")</f>
        <v/>
      </c>
      <c r="O20" s="58" t="inlineStr">
        <is>
          <t>In Stock (Spare)</t>
        </is>
      </c>
    </row>
    <row r="21" ht="20" customHeight="1">
      <c r="A21" s="48" t="inlineStr">
        <is>
          <t>AST-LAP-007</t>
        </is>
      </c>
      <c r="B21" s="49" t="inlineStr">
        <is>
          <t>Laptop</t>
        </is>
      </c>
      <c r="C21" s="49" t="inlineStr">
        <is>
          <t>Lenovo</t>
        </is>
      </c>
      <c r="D21" s="49" t="inlineStr">
        <is>
          <t>ThinkPad T490 (Damaged)</t>
        </is>
      </c>
      <c r="E21" s="49" t="inlineStr">
        <is>
          <t>PF0Z8112</t>
        </is>
      </c>
      <c r="F21" s="49" t="inlineStr">
        <is>
          <t>Decommission Queue</t>
        </is>
      </c>
      <c r="G21" s="49" t="inlineStr">
        <is>
          <t>IT Support</t>
        </is>
      </c>
      <c r="H21" s="49" t="inlineStr">
        <is>
          <t>2020-05-18</t>
        </is>
      </c>
      <c r="I21" s="92" t="n">
        <v>1200</v>
      </c>
      <c r="J21" s="93" t="n">
        <v>3</v>
      </c>
      <c r="K21" s="52">
        <f>ROUND((TODAY()-DATEVALUE(H21))/365.25, 1)</f>
        <v/>
      </c>
      <c r="L21" s="94">
        <f>MAX(0, ROUND(I21*(1-K21/J21), 0))</f>
        <v/>
      </c>
      <c r="M21" s="49" t="inlineStr">
        <is>
          <t>2023-05-18</t>
        </is>
      </c>
      <c r="N21" s="54">
        <f>IF(DATEVALUE(M21)&gt;TODAY(), "Active Warranty", "Expired")</f>
        <v/>
      </c>
      <c r="O21" s="95" t="inlineStr">
        <is>
          <t>Disposed</t>
        </is>
      </c>
    </row>
  </sheetData>
  <mergeCells count="6">
    <mergeCell ref="J3:K3"/>
    <mergeCell ref="A2:O2"/>
    <mergeCell ref="A1:O1"/>
    <mergeCell ref="D3:E3"/>
    <mergeCell ref="A3:B3"/>
    <mergeCell ref="G3:H3"/>
  </mergeCells>
  <conditionalFormatting sqref="N10:N80">
    <cfRule type="cellIs" priority="1" operator="equal" dxfId="0" stopIfTrue="1">
      <formula>"Active Warranty"</formula>
    </cfRule>
    <cfRule type="cellIs" priority="2" operator="equal" dxfId="1" stopIfTrue="1">
      <formula>"Expired"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9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4" customWidth="1" min="3" max="3"/>
    <col width="20" customWidth="1" min="4" max="4"/>
    <col width="16" customWidth="1" min="5" max="5"/>
    <col width="16" customWidth="1" min="6" max="6"/>
    <col width="16" customWidth="1" min="7" max="7"/>
    <col width="14" customWidth="1" min="8" max="8"/>
    <col width="16" customWidth="1" min="9" max="9"/>
    <col width="18" customWidth="1" min="10" max="10"/>
    <col width="14" customWidth="1" min="11" max="11"/>
    <col width="16" customWidth="1" min="12" max="12"/>
    <col width="18" customWidth="1" min="13" max="13"/>
  </cols>
  <sheetData>
    <row r="1" ht="36" customHeight="1">
      <c r="A1" s="1" t="inlineStr">
        <is>
          <t>SOFTWARE ASSET MANAGEMENT (SAM) &amp; LICENSE COMPLIANCE</t>
        </is>
      </c>
    </row>
    <row r="2" ht="20" customHeight="1">
      <c r="A2" s="2" t="inlineStr">
        <is>
          <t>SaaS Subscriptions, Allocated Seats, Utilization %, &amp; Annual Spend Optimization</t>
        </is>
      </c>
    </row>
    <row r="3" ht="20" customHeight="1">
      <c r="A3" s="39" t="inlineStr">
        <is>
          <t>TOTAL ANNUAL SOFTWARE SPEND:</t>
        </is>
      </c>
      <c r="C3" s="90">
        <f>SUM(J10:J50)</f>
        <v/>
      </c>
      <c r="D3" s="39" t="inlineStr">
        <is>
          <t>TOTAL ACTIVE SOFTWARE TITLES:</t>
        </is>
      </c>
      <c r="F3" s="40">
        <f>COUNTA(A10:A50)</f>
        <v/>
      </c>
      <c r="G3" s="39" t="inlineStr">
        <is>
          <t>RENEWING WITHIN 60 DAYS:</t>
        </is>
      </c>
      <c r="I3" s="71">
        <f>COUNTIF(L10:L50, "Renew Soon")</f>
        <v/>
      </c>
    </row>
    <row r="9" ht="26" customHeight="1">
      <c r="A9" s="47" t="inlineStr">
        <is>
          <t>Software Title</t>
        </is>
      </c>
      <c r="B9" s="47" t="inlineStr">
        <is>
          <t>Vendor</t>
        </is>
      </c>
      <c r="C9" s="47" t="inlineStr">
        <is>
          <t>Category</t>
        </is>
      </c>
      <c r="D9" s="47" t="inlineStr">
        <is>
          <t>License Model</t>
        </is>
      </c>
      <c r="E9" s="47" t="inlineStr">
        <is>
          <t>Purchased Seats</t>
        </is>
      </c>
      <c r="F9" s="47" t="inlineStr">
        <is>
          <t>Allocated Seats</t>
        </is>
      </c>
      <c r="G9" s="47" t="inlineStr">
        <is>
          <t>Available Seats</t>
        </is>
      </c>
      <c r="H9" s="47" t="inlineStr">
        <is>
          <t>Utilization %</t>
        </is>
      </c>
      <c r="I9" s="47" t="inlineStr">
        <is>
          <t>Cost / Seat ($)</t>
        </is>
      </c>
      <c r="J9" s="47" t="inlineStr">
        <is>
          <t>Annual Cost ($)</t>
        </is>
      </c>
      <c r="K9" s="47" t="inlineStr">
        <is>
          <t>Renewal Date</t>
        </is>
      </c>
      <c r="L9" s="47" t="inlineStr">
        <is>
          <t>Renewal Status</t>
        </is>
      </c>
      <c r="M9" s="47" t="inlineStr">
        <is>
          <t>Application Admin</t>
        </is>
      </c>
    </row>
    <row r="10" ht="20" customHeight="1">
      <c r="A10" s="59" t="inlineStr">
        <is>
          <t>Google Workspace Enterprise Plus</t>
        </is>
      </c>
      <c r="B10" s="49" t="inlineStr">
        <is>
          <t>Google</t>
        </is>
      </c>
      <c r="C10" s="49" t="inlineStr">
        <is>
          <t>Productivity &amp; Email</t>
        </is>
      </c>
      <c r="D10" s="49" t="inlineStr">
        <is>
          <t>Per-User SaaS</t>
        </is>
      </c>
      <c r="E10" s="87" t="n">
        <v>350</v>
      </c>
      <c r="F10" s="87" t="n">
        <v>328</v>
      </c>
      <c r="G10" s="86">
        <f>E10-F10</f>
        <v/>
      </c>
      <c r="H10" s="96">
        <f>F10/E10</f>
        <v/>
      </c>
      <c r="I10" s="97" t="n">
        <v>360</v>
      </c>
      <c r="J10" s="98">
        <f>E10*I10</f>
        <v/>
      </c>
      <c r="K10" s="49" t="inlineStr">
        <is>
          <t>2026-11-30</t>
        </is>
      </c>
      <c r="L10" s="54">
        <f>IF(DATEVALUE(K10)-TODAY()&lt;0, "Expired", IF(DATEVALUE(K10)-TODAY()&lt;=60, "Renew Soon", "Active"))</f>
        <v/>
      </c>
      <c r="M10" s="49" t="inlineStr">
        <is>
          <t>Siti Rahma</t>
        </is>
      </c>
    </row>
    <row r="11" ht="20" customHeight="1">
      <c r="A11" s="59" t="inlineStr">
        <is>
          <t>Microsoft 365 E3</t>
        </is>
      </c>
      <c r="B11" s="49" t="inlineStr">
        <is>
          <t>Microsoft</t>
        </is>
      </c>
      <c r="C11" s="49" t="inlineStr">
        <is>
          <t>Productivity &amp; Office</t>
        </is>
      </c>
      <c r="D11" s="49" t="inlineStr">
        <is>
          <t>Per-User SaaS</t>
        </is>
      </c>
      <c r="E11" s="87" t="n">
        <v>120</v>
      </c>
      <c r="F11" s="87" t="n">
        <v>114</v>
      </c>
      <c r="G11" s="86">
        <f>E11-F11</f>
        <v/>
      </c>
      <c r="H11" s="96">
        <f>F11/E11</f>
        <v/>
      </c>
      <c r="I11" s="97" t="n">
        <v>432</v>
      </c>
      <c r="J11" s="98">
        <f>E11*I11</f>
        <v/>
      </c>
      <c r="K11" s="49" t="inlineStr">
        <is>
          <t>2026-08-15</t>
        </is>
      </c>
      <c r="L11" s="54">
        <f>IF(DATEVALUE(K11)-TODAY()&lt;0, "Expired", IF(DATEVALUE(K11)-TODAY()&lt;=60, "Renew Soon", "Active"))</f>
        <v/>
      </c>
      <c r="M11" s="49" t="inlineStr">
        <is>
          <t>Siti Rahma</t>
        </is>
      </c>
    </row>
    <row r="12" ht="20" customHeight="1">
      <c r="A12" s="59" t="inlineStr">
        <is>
          <t>Slack Enterprise Grid</t>
        </is>
      </c>
      <c r="B12" s="49" t="inlineStr">
        <is>
          <t>Salesforce</t>
        </is>
      </c>
      <c r="C12" s="49" t="inlineStr">
        <is>
          <t>Collaboration &amp; Messaging</t>
        </is>
      </c>
      <c r="D12" s="49" t="inlineStr">
        <is>
          <t>Per-User SaaS</t>
        </is>
      </c>
      <c r="E12" s="87" t="n">
        <v>350</v>
      </c>
      <c r="F12" s="87" t="n">
        <v>342</v>
      </c>
      <c r="G12" s="86">
        <f>E12-F12</f>
        <v/>
      </c>
      <c r="H12" s="96">
        <f>F12/E12</f>
        <v/>
      </c>
      <c r="I12" s="97" t="n">
        <v>180</v>
      </c>
      <c r="J12" s="98">
        <f>E12*I12</f>
        <v/>
      </c>
      <c r="K12" s="49" t="inlineStr">
        <is>
          <t>2026-09-30</t>
        </is>
      </c>
      <c r="L12" s="54">
        <f>IF(DATEVALUE(K12)-TODAY()&lt;0, "Expired", IF(DATEVALUE(K12)-TODAY()&lt;=60, "Renew Soon", "Active"))</f>
        <v/>
      </c>
      <c r="M12" s="49" t="inlineStr">
        <is>
          <t>Kevin Sanjaya</t>
        </is>
      </c>
    </row>
    <row r="13" ht="20" customHeight="1">
      <c r="A13" s="59" t="inlineStr">
        <is>
          <t>CrowdStrike Falcon Enterprise</t>
        </is>
      </c>
      <c r="B13" s="49" t="inlineStr">
        <is>
          <t>CrowdStrike</t>
        </is>
      </c>
      <c r="C13" s="49" t="inlineStr">
        <is>
          <t>Endpoint Security EDR</t>
        </is>
      </c>
      <c r="D13" s="49" t="inlineStr">
        <is>
          <t>Per-Endpoint SaaS</t>
        </is>
      </c>
      <c r="E13" s="87" t="n">
        <v>380</v>
      </c>
      <c r="F13" s="87" t="n">
        <v>355</v>
      </c>
      <c r="G13" s="86">
        <f>E13-F13</f>
        <v/>
      </c>
      <c r="H13" s="96">
        <f>F13/E13</f>
        <v/>
      </c>
      <c r="I13" s="97" t="n">
        <v>120</v>
      </c>
      <c r="J13" s="98">
        <f>E13*I13</f>
        <v/>
      </c>
      <c r="K13" s="49" t="inlineStr">
        <is>
          <t>2026-12-15</t>
        </is>
      </c>
      <c r="L13" s="54">
        <f>IF(DATEVALUE(K13)-TODAY()&lt;0, "Expired", IF(DATEVALUE(K13)-TODAY()&lt;=60, "Renew Soon", "Active"))</f>
        <v/>
      </c>
      <c r="M13" s="49" t="inlineStr">
        <is>
          <t>Rian Pratama</t>
        </is>
      </c>
    </row>
    <row r="14" ht="20" customHeight="1">
      <c r="A14" s="59" t="inlineStr">
        <is>
          <t>Zscaler Internet Access (ZIA)</t>
        </is>
      </c>
      <c r="B14" s="49" t="inlineStr">
        <is>
          <t>Zscaler</t>
        </is>
      </c>
      <c r="C14" s="49" t="inlineStr">
        <is>
          <t>Cloud Web Proxy &amp; SASE</t>
        </is>
      </c>
      <c r="D14" s="49" t="inlineStr">
        <is>
          <t>Per-User SaaS</t>
        </is>
      </c>
      <c r="E14" s="87" t="n">
        <v>350</v>
      </c>
      <c r="F14" s="87" t="n">
        <v>330</v>
      </c>
      <c r="G14" s="86">
        <f>E14-F14</f>
        <v/>
      </c>
      <c r="H14" s="96">
        <f>F14/E14</f>
        <v/>
      </c>
      <c r="I14" s="97" t="n">
        <v>96</v>
      </c>
      <c r="J14" s="98">
        <f>E14*I14</f>
        <v/>
      </c>
      <c r="K14" s="49" t="inlineStr">
        <is>
          <t>2026-10-31</t>
        </is>
      </c>
      <c r="L14" s="54">
        <f>IF(DATEVALUE(K14)-TODAY()&lt;0, "Expired", IF(DATEVALUE(K14)-TODAY()&lt;=60, "Renew Soon", "Active"))</f>
        <v/>
      </c>
      <c r="M14" s="49" t="inlineStr">
        <is>
          <t>Rian Pratama</t>
        </is>
      </c>
    </row>
    <row r="15" ht="20" customHeight="1">
      <c r="A15" s="59" t="inlineStr">
        <is>
          <t>Datadog Pro Infrastructure</t>
        </is>
      </c>
      <c r="B15" s="49" t="inlineStr">
        <is>
          <t>Datadog</t>
        </is>
      </c>
      <c r="C15" s="49" t="inlineStr">
        <is>
          <t>Monitoring &amp; APM</t>
        </is>
      </c>
      <c r="D15" s="49" t="inlineStr">
        <is>
          <t>Usage-Based Host</t>
        </is>
      </c>
      <c r="E15" s="87" t="n">
        <v>45</v>
      </c>
      <c r="F15" s="87" t="n">
        <v>42</v>
      </c>
      <c r="G15" s="86">
        <f>E15-F15</f>
        <v/>
      </c>
      <c r="H15" s="96">
        <f>F15/E15</f>
        <v/>
      </c>
      <c r="I15" s="97" t="n">
        <v>216</v>
      </c>
      <c r="J15" s="98">
        <f>E15*I15</f>
        <v/>
      </c>
      <c r="K15" s="49" t="inlineStr">
        <is>
          <t>2026-07-20</t>
        </is>
      </c>
      <c r="L15" s="54">
        <f>IF(DATEVALUE(K15)-TODAY()&lt;0, "Expired", IF(DATEVALUE(K15)-TODAY()&lt;=60, "Renew Soon", "Active"))</f>
        <v/>
      </c>
      <c r="M15" s="49" t="inlineStr">
        <is>
          <t>Alex Kurniawan</t>
        </is>
      </c>
    </row>
    <row r="16" ht="20" customHeight="1">
      <c r="A16" s="59" t="inlineStr">
        <is>
          <t>Atlassian Jira Software &amp; Confluence</t>
        </is>
      </c>
      <c r="B16" s="49" t="inlineStr">
        <is>
          <t>Atlassian</t>
        </is>
      </c>
      <c r="C16" s="49" t="inlineStr">
        <is>
          <t>Project &amp; Knowledgebase</t>
        </is>
      </c>
      <c r="D16" s="49" t="inlineStr">
        <is>
          <t>Per-User Cloud</t>
        </is>
      </c>
      <c r="E16" s="87" t="n">
        <v>150</v>
      </c>
      <c r="F16" s="87" t="n">
        <v>142</v>
      </c>
      <c r="G16" s="86">
        <f>E16-F16</f>
        <v/>
      </c>
      <c r="H16" s="96">
        <f>F16/E16</f>
        <v/>
      </c>
      <c r="I16" s="97" t="n">
        <v>168</v>
      </c>
      <c r="J16" s="98">
        <f>E16*I16</f>
        <v/>
      </c>
      <c r="K16" s="49" t="inlineStr">
        <is>
          <t>2026-06-30</t>
        </is>
      </c>
      <c r="L16" s="54">
        <f>IF(DATEVALUE(K16)-TODAY()&lt;0, "Expired", IF(DATEVALUE(K16)-TODAY()&lt;=60, "Renew Soon", "Active"))</f>
        <v/>
      </c>
      <c r="M16" s="49" t="inlineStr">
        <is>
          <t>Kevin Sanjaya</t>
        </is>
      </c>
    </row>
    <row r="17" ht="20" customHeight="1">
      <c r="A17" s="59" t="inlineStr">
        <is>
          <t>Adobe Creative Cloud All Apps</t>
        </is>
      </c>
      <c r="B17" s="49" t="inlineStr">
        <is>
          <t>Adobe</t>
        </is>
      </c>
      <c r="C17" s="49" t="inlineStr">
        <is>
          <t>Design &amp; Multimedia</t>
        </is>
      </c>
      <c r="D17" s="49" t="inlineStr">
        <is>
          <t>Named User SaaS</t>
        </is>
      </c>
      <c r="E17" s="87" t="n">
        <v>25</v>
      </c>
      <c r="F17" s="87" t="n">
        <v>24</v>
      </c>
      <c r="G17" s="86">
        <f>E17-F17</f>
        <v/>
      </c>
      <c r="H17" s="96">
        <f>F17/E17</f>
        <v/>
      </c>
      <c r="I17" s="97" t="n">
        <v>1020</v>
      </c>
      <c r="J17" s="98">
        <f>E17*I17</f>
        <v/>
      </c>
      <c r="K17" s="49" t="inlineStr">
        <is>
          <t>2026-04-15</t>
        </is>
      </c>
      <c r="L17" s="54">
        <f>IF(DATEVALUE(K17)-TODAY()&lt;0, "Expired", IF(DATEVALUE(K17)-TODAY()&lt;=60, "Renew Soon", "Active"))</f>
        <v/>
      </c>
      <c r="M17" s="49" t="inlineStr">
        <is>
          <t>Kevin Sanjaya</t>
        </is>
      </c>
    </row>
    <row r="18" ht="20" customHeight="1">
      <c r="A18" s="59" t="inlineStr">
        <is>
          <t>GitHub Enterprise Cloud</t>
        </is>
      </c>
      <c r="B18" s="49" t="inlineStr">
        <is>
          <t>Microsoft / GitHub</t>
        </is>
      </c>
      <c r="C18" s="49" t="inlineStr">
        <is>
          <t>DevOps &amp; Source Code</t>
        </is>
      </c>
      <c r="D18" s="49" t="inlineStr">
        <is>
          <t>Per-Seat Cloud</t>
        </is>
      </c>
      <c r="E18" s="87" t="n">
        <v>65</v>
      </c>
      <c r="F18" s="87" t="n">
        <v>58</v>
      </c>
      <c r="G18" s="86">
        <f>E18-F18</f>
        <v/>
      </c>
      <c r="H18" s="96">
        <f>F18/E18</f>
        <v/>
      </c>
      <c r="I18" s="97" t="n">
        <v>252</v>
      </c>
      <c r="J18" s="98">
        <f>E18*I18</f>
        <v/>
      </c>
      <c r="K18" s="49" t="inlineStr">
        <is>
          <t>2026-05-31</t>
        </is>
      </c>
      <c r="L18" s="54">
        <f>IF(DATEVALUE(K18)-TODAY()&lt;0, "Expired", IF(DATEVALUE(K18)-TODAY()&lt;=60, "Renew Soon", "Active"))</f>
        <v/>
      </c>
      <c r="M18" s="49" t="inlineStr">
        <is>
          <t>Alex Kurniawan</t>
        </is>
      </c>
    </row>
    <row r="19" ht="20" customHeight="1">
      <c r="A19" s="59" t="inlineStr">
        <is>
          <t>Fortinet FortiCare 24x7 Enterprise</t>
        </is>
      </c>
      <c r="B19" s="49" t="inlineStr">
        <is>
          <t>Fortinet</t>
        </is>
      </c>
      <c r="C19" s="49" t="inlineStr">
        <is>
          <t>Network Firewall License</t>
        </is>
      </c>
      <c r="D19" s="49" t="inlineStr">
        <is>
          <t>Appliance UTM Sub</t>
        </is>
      </c>
      <c r="E19" s="87" t="n">
        <v>2</v>
      </c>
      <c r="F19" s="87" t="n">
        <v>2</v>
      </c>
      <c r="G19" s="86">
        <f>E19-F19</f>
        <v/>
      </c>
      <c r="H19" s="96">
        <f>F19/E19</f>
        <v/>
      </c>
      <c r="I19" s="97" t="n">
        <v>4500</v>
      </c>
      <c r="J19" s="98">
        <f>E19*I19</f>
        <v/>
      </c>
      <c r="K19" s="49" t="inlineStr">
        <is>
          <t>2026-03-31</t>
        </is>
      </c>
      <c r="L19" s="54">
        <f>IF(DATEVALUE(K19)-TODAY()&lt;0, "Expired", IF(DATEVALUE(K19)-TODAY()&lt;=60, "Renew Soon", "Active"))</f>
        <v/>
      </c>
      <c r="M19" s="49" t="inlineStr">
        <is>
          <t>Rian Pratama</t>
        </is>
      </c>
    </row>
  </sheetData>
  <mergeCells count="5">
    <mergeCell ref="A1:M1"/>
    <mergeCell ref="A2:M2"/>
    <mergeCell ref="D3:E3"/>
    <mergeCell ref="A3:B3"/>
    <mergeCell ref="G3:H3"/>
  </mergeCells>
  <conditionalFormatting sqref="L10:L50">
    <cfRule type="cellIs" priority="1" operator="equal" dxfId="0" stopIfTrue="1">
      <formula>"Active"</formula>
    </cfRule>
    <cfRule type="cellIs" priority="2" operator="equal" dxfId="2" stopIfTrue="1">
      <formula>"Renew Soon"</formula>
    </cfRule>
    <cfRule type="cellIs" priority="3" operator="equal" dxfId="1" stopIfTrue="1">
      <formula>"Expired"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6" customWidth="1" min="4" max="4"/>
    <col width="14" customWidth="1" min="5" max="5"/>
    <col width="16" customWidth="1" min="6" max="6"/>
    <col width="24" customWidth="1" min="7" max="7"/>
    <col width="24" customWidth="1" min="8" max="8"/>
    <col width="44" customWidth="1" min="9" max="9"/>
    <col width="18" customWidth="1" min="10" max="10"/>
  </cols>
  <sheetData>
    <row r="1" ht="36" customHeight="1">
      <c r="A1" s="1" t="inlineStr">
        <is>
          <t>CLOUD &amp; INFRASTRUCTURE FINANCIAL MANAGEMENT (FinOps)</t>
        </is>
      </c>
    </row>
    <row r="2" ht="20" customHeight="1">
      <c r="A2" s="2" t="inlineStr">
        <is>
          <t>Monthly Budget vs Actual Spend, Variance Analysis, &amp; Optimization Opportunities</t>
        </is>
      </c>
    </row>
    <row r="3" ht="20" customHeight="1">
      <c r="A3" s="39" t="inlineStr">
        <is>
          <t>TOTAL MONTHLY BUDGET:</t>
        </is>
      </c>
      <c r="C3" s="90">
        <f>SUM(B10:B25)</f>
        <v/>
      </c>
      <c r="D3" s="39" t="inlineStr">
        <is>
          <t>TOTAL ACTUAL SPEND:</t>
        </is>
      </c>
      <c r="F3" s="99">
        <f>SUM(C10:C25)</f>
        <v/>
      </c>
      <c r="G3" s="39" t="inlineStr">
        <is>
          <t>NET VARIANCE ($):</t>
        </is>
      </c>
      <c r="I3" s="91">
        <f>C3-F3</f>
        <v/>
      </c>
    </row>
    <row r="9" ht="26" customHeight="1">
      <c r="A9" s="47" t="inlineStr">
        <is>
          <t>Infrastructure Service / Account</t>
        </is>
      </c>
      <c r="B9" s="47" t="inlineStr">
        <is>
          <t>Monthly Budget ($)</t>
        </is>
      </c>
      <c r="C9" s="47" t="inlineStr">
        <is>
          <t>Actual Spend ($)</t>
        </is>
      </c>
      <c r="D9" s="47" t="inlineStr">
        <is>
          <t>Variance ($)</t>
        </is>
      </c>
      <c r="E9" s="47" t="inlineStr">
        <is>
          <t>Variance %</t>
        </is>
      </c>
      <c r="F9" s="47" t="inlineStr">
        <is>
          <t>Budget Status</t>
        </is>
      </c>
      <c r="G9" s="47" t="inlineStr">
        <is>
          <t>Provider / Platform</t>
        </is>
      </c>
      <c r="H9" s="47" t="inlineStr">
        <is>
          <t>Cost Driver Category</t>
        </is>
      </c>
      <c r="I9" s="47" t="inlineStr">
        <is>
          <t>Optimization Opportunity / Recommendation</t>
        </is>
      </c>
      <c r="J9" s="47" t="inlineStr">
        <is>
          <t>Account Lead</t>
        </is>
      </c>
    </row>
    <row r="10" ht="20" customHeight="1">
      <c r="A10" s="59" t="inlineStr">
        <is>
          <t>AWS Production (EKS, EC2, RDS Aurora)</t>
        </is>
      </c>
      <c r="B10" s="97" t="n">
        <v>18500</v>
      </c>
      <c r="C10" s="92" t="n">
        <v>17850</v>
      </c>
      <c r="D10" s="92">
        <f>B10-C10</f>
        <v/>
      </c>
      <c r="E10" s="100">
        <f>(C10-B10)/B10</f>
        <v/>
      </c>
      <c r="F10" s="54">
        <f>IF(D10&gt;=0, "Under Budget", "Over Budget")</f>
        <v/>
      </c>
      <c r="G10" s="49" t="inlineStr">
        <is>
          <t>Amazon Web Services</t>
        </is>
      </c>
      <c r="H10" s="49" t="inlineStr">
        <is>
          <t>Compute &amp; Database</t>
        </is>
      </c>
      <c r="I10" s="49" t="inlineStr">
        <is>
          <t>Purchase 1-Year Savings Plan for EC2 nodes</t>
        </is>
      </c>
      <c r="J10" s="49" t="inlineStr">
        <is>
          <t>Alex Kurniawan</t>
        </is>
      </c>
    </row>
    <row r="11" ht="20" customHeight="1">
      <c r="A11" s="59" t="inlineStr">
        <is>
          <t>AWS S3 &amp; Glacier Backup Storage</t>
        </is>
      </c>
      <c r="B11" s="97" t="n">
        <v>3200</v>
      </c>
      <c r="C11" s="92" t="n">
        <v>3050</v>
      </c>
      <c r="D11" s="92">
        <f>B11-C11</f>
        <v/>
      </c>
      <c r="E11" s="100">
        <f>(C11-B11)/B11</f>
        <v/>
      </c>
      <c r="F11" s="54">
        <f>IF(D11&gt;=0, "Under Budget", "Over Budget")</f>
        <v/>
      </c>
      <c r="G11" s="49" t="inlineStr">
        <is>
          <t>Amazon Web Services</t>
        </is>
      </c>
      <c r="H11" s="49" t="inlineStr">
        <is>
          <t>Object Storage</t>
        </is>
      </c>
      <c r="I11" s="49" t="inlineStr">
        <is>
          <t>Implement lifecycle transition rule to Deep Archive</t>
        </is>
      </c>
      <c r="J11" s="49" t="inlineStr">
        <is>
          <t>Alex Kurniawan</t>
        </is>
      </c>
    </row>
    <row r="12" ht="20" customHeight="1">
      <c r="A12" s="59" t="inlineStr">
        <is>
          <t>Azure Entra ID &amp; Active Directory VMs</t>
        </is>
      </c>
      <c r="B12" s="97" t="n">
        <v>2400</v>
      </c>
      <c r="C12" s="92" t="n">
        <v>2380</v>
      </c>
      <c r="D12" s="92">
        <f>B12-C12</f>
        <v/>
      </c>
      <c r="E12" s="100">
        <f>(C12-B12)/B12</f>
        <v/>
      </c>
      <c r="F12" s="54">
        <f>IF(D12&gt;=0, "Under Budget", "Over Budget")</f>
        <v/>
      </c>
      <c r="G12" s="49" t="inlineStr">
        <is>
          <t>Microsoft Azure</t>
        </is>
      </c>
      <c r="H12" s="49" t="inlineStr">
        <is>
          <t>Identity &amp; Hybrid Infra</t>
        </is>
      </c>
      <c r="I12" s="49" t="inlineStr">
        <is>
          <t>Right-size domain controller instance tier</t>
        </is>
      </c>
      <c r="J12" s="49" t="inlineStr">
        <is>
          <t>Siti Rahma</t>
        </is>
      </c>
    </row>
    <row r="13" ht="20" customHeight="1">
      <c r="A13" s="59" t="inlineStr">
        <is>
          <t>Data Center Colocation &amp; Power Rack</t>
        </is>
      </c>
      <c r="B13" s="97" t="n">
        <v>4500</v>
      </c>
      <c r="C13" s="92" t="n">
        <v>4500</v>
      </c>
      <c r="D13" s="92">
        <f>B13-C13</f>
        <v/>
      </c>
      <c r="E13" s="100">
        <f>(C13-B13)/B13</f>
        <v/>
      </c>
      <c r="F13" s="54">
        <f>IF(D13&gt;=0, "Under Budget", "Over Budget")</f>
        <v/>
      </c>
      <c r="G13" s="49" t="inlineStr">
        <is>
          <t>Equinix Data Center</t>
        </is>
      </c>
      <c r="H13" s="49" t="inlineStr">
        <is>
          <t>On-Premises Colocation</t>
        </is>
      </c>
      <c r="I13" s="49" t="inlineStr">
        <is>
          <t>Consolidated 2 redundant older blade chassis</t>
        </is>
      </c>
      <c r="J13" s="49" t="inlineStr">
        <is>
          <t>Rian Pratama</t>
        </is>
      </c>
    </row>
    <row r="14" ht="20" customHeight="1">
      <c r="A14" s="59" t="inlineStr">
        <is>
          <t>Primary Dedicated Internet Leased Line 1Gbps</t>
        </is>
      </c>
      <c r="B14" s="97" t="n">
        <v>2800</v>
      </c>
      <c r="C14" s="92" t="n">
        <v>2800</v>
      </c>
      <c r="D14" s="92">
        <f>B14-C14</f>
        <v/>
      </c>
      <c r="E14" s="100">
        <f>(C14-B14)/B14</f>
        <v/>
      </c>
      <c r="F14" s="54">
        <f>IF(D14&gt;=0, "Under Budget", "Over Budget")</f>
        <v/>
      </c>
      <c r="G14" s="49" t="inlineStr">
        <is>
          <t>Telkom Indonesia</t>
        </is>
      </c>
      <c r="H14" s="49" t="inlineStr">
        <is>
          <t>Network &amp; Bandwidth</t>
        </is>
      </c>
      <c r="I14" s="49" t="inlineStr">
        <is>
          <t>Contract locked under multi-year corporate rate</t>
        </is>
      </c>
      <c r="J14" s="49" t="inlineStr">
        <is>
          <t>Rian Pratama</t>
        </is>
      </c>
    </row>
    <row r="15" ht="20" customHeight="1">
      <c r="A15" s="59" t="inlineStr">
        <is>
          <t>Secondary Backup Fibre Leased Line 500Mbps</t>
        </is>
      </c>
      <c r="B15" s="97" t="n">
        <v>1500</v>
      </c>
      <c r="C15" s="92" t="n">
        <v>1500</v>
      </c>
      <c r="D15" s="92">
        <f>B15-C15</f>
        <v/>
      </c>
      <c r="E15" s="100">
        <f>(C15-B15)/B15</f>
        <v/>
      </c>
      <c r="F15" s="54">
        <f>IF(D15&gt;=0, "Under Budget", "Over Budget")</f>
        <v/>
      </c>
      <c r="G15" s="49" t="inlineStr">
        <is>
          <t>Indosat Ooredoo</t>
        </is>
      </c>
      <c r="H15" s="49" t="inlineStr">
        <is>
          <t>Network &amp; Bandwidth</t>
        </is>
      </c>
      <c r="I15" s="49" t="inlineStr">
        <is>
          <t>Failover tested quarterly</t>
        </is>
      </c>
      <c r="J15" s="49" t="inlineStr">
        <is>
          <t>Rian Pratama</t>
        </is>
      </c>
    </row>
    <row r="16" ht="20" customHeight="1">
      <c r="A16" s="59" t="inlineStr">
        <is>
          <t>Cloudflare Enterprise CDN &amp; WAF</t>
        </is>
      </c>
      <c r="B16" s="97" t="n">
        <v>3000</v>
      </c>
      <c r="C16" s="92" t="n">
        <v>3000</v>
      </c>
      <c r="D16" s="92">
        <f>B16-C16</f>
        <v/>
      </c>
      <c r="E16" s="100">
        <f>(C16-B16)/B16</f>
        <v/>
      </c>
      <c r="F16" s="54">
        <f>IF(D16&gt;=0, "Under Budget", "Over Budget")</f>
        <v/>
      </c>
      <c r="G16" s="49" t="inlineStr">
        <is>
          <t>Cloudflare</t>
        </is>
      </c>
      <c r="H16" s="49" t="inlineStr">
        <is>
          <t>Security &amp; Edge CDN</t>
        </is>
      </c>
      <c r="I16" s="49" t="inlineStr">
        <is>
          <t>High volume cache hit ratio saves AWS egress fees</t>
        </is>
      </c>
      <c r="J16" s="49" t="inlineStr">
        <is>
          <t>Alex Kurniawan</t>
        </is>
      </c>
    </row>
    <row r="17" ht="20" customHeight="1">
      <c r="A17" s="59" t="inlineStr">
        <is>
          <t>On-Premises Hardware Maintenance Contracts</t>
        </is>
      </c>
      <c r="B17" s="97" t="n">
        <v>2200</v>
      </c>
      <c r="C17" s="92" t="n">
        <v>2200</v>
      </c>
      <c r="D17" s="92">
        <f>B17-C17</f>
        <v/>
      </c>
      <c r="E17" s="100">
        <f>(C17-B17)/B17</f>
        <v/>
      </c>
      <c r="F17" s="54">
        <f>IF(D17&gt;=0, "Under Budget", "Over Budget")</f>
        <v/>
      </c>
      <c r="G17" s="49" t="inlineStr">
        <is>
          <t>Dell &amp; Cisco OEM Support</t>
        </is>
      </c>
      <c r="H17" s="49" t="inlineStr">
        <is>
          <t>OEM Hardware Care</t>
        </is>
      </c>
      <c r="I17" s="49" t="inlineStr">
        <is>
          <t>Co-termed renewals to single annual schedule</t>
        </is>
      </c>
      <c r="J17" s="49" t="inlineStr">
        <is>
          <t>Rian Pratama</t>
        </is>
      </c>
    </row>
    <row r="18" ht="20" customHeight="1">
      <c r="A18" s="59" t="inlineStr">
        <is>
          <t>Disaster Recovery Cold Storage (Wasabi)</t>
        </is>
      </c>
      <c r="B18" s="97" t="n">
        <v>800</v>
      </c>
      <c r="C18" s="92" t="n">
        <v>750</v>
      </c>
      <c r="D18" s="92">
        <f>B18-C18</f>
        <v/>
      </c>
      <c r="E18" s="100">
        <f>(C18-B18)/B18</f>
        <v/>
      </c>
      <c r="F18" s="54">
        <f>IF(D18&gt;=0, "Under Budget", "Over Budget")</f>
        <v/>
      </c>
      <c r="G18" s="49" t="inlineStr">
        <is>
          <t>Wasabi Cloud</t>
        </is>
      </c>
      <c r="H18" s="49" t="inlineStr">
        <is>
          <t>Offsite DR Storage</t>
        </is>
      </c>
      <c r="I18" s="49" t="inlineStr">
        <is>
          <t>Zero egress fee architecture</t>
        </is>
      </c>
      <c r="J18" s="49" t="inlineStr">
        <is>
          <t>Alex Kurniawan</t>
        </is>
      </c>
    </row>
  </sheetData>
  <mergeCells count="5">
    <mergeCell ref="A1:J1"/>
    <mergeCell ref="A2:J2"/>
    <mergeCell ref="D3:E3"/>
    <mergeCell ref="A3:B3"/>
    <mergeCell ref="G3:H3"/>
  </mergeCells>
  <conditionalFormatting sqref="F10:F25">
    <cfRule type="cellIs" priority="1" operator="equal" dxfId="0" stopIfTrue="1">
      <formula>"Under Budget"</formula>
    </cfRule>
    <cfRule type="cellIs" priority="2" operator="equal" dxfId="1" stopIfTrue="1">
      <formula>"Over Budget"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5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24" customWidth="1" min="2" max="2"/>
    <col width="20" customWidth="1" min="3" max="3"/>
    <col width="16" customWidth="1" min="4" max="4"/>
    <col width="16" customWidth="1" min="5" max="5"/>
    <col width="18" customWidth="1" min="6" max="6"/>
    <col width="16" customWidth="1" min="7" max="7"/>
    <col width="24" customWidth="1" min="8" max="8"/>
    <col width="18" customWidth="1" min="9" max="9"/>
    <col width="18" customWidth="1" min="10" max="10"/>
    <col width="16" customWidth="1" min="11" max="11"/>
    <col width="18" customWidth="1" min="12" max="12"/>
  </cols>
  <sheetData>
    <row r="1" ht="36" customHeight="1">
      <c r="A1" s="1" t="inlineStr">
        <is>
          <t>ENTERPRISE BACKUP &amp; DISASTER RECOVERY (BCP / DR)</t>
        </is>
      </c>
    </row>
    <row r="2" ht="20" customHeight="1">
      <c r="A2" s="2" t="inlineStr">
        <is>
          <t>RPO / RTO Targets, Backup Integrity Verification, Simulation Drills &amp; Offsite Storage</t>
        </is>
      </c>
    </row>
    <row r="3" ht="20" customHeight="1">
      <c r="A3" s="39" t="inlineStr">
        <is>
          <t>BACKUP SUCCESS RATE:</t>
        </is>
      </c>
      <c r="C3" s="41">
        <f>COUNTIF(G10:G30, "Successful")/COUNTA(A10:A30)</f>
        <v/>
      </c>
      <c r="D3" s="39" t="inlineStr">
        <is>
          <t>TOTAL CRITICAL DATASETS:</t>
        </is>
      </c>
      <c r="F3" s="40">
        <f>COUNTA(A10:A30)</f>
        <v/>
      </c>
      <c r="G3" s="39" t="inlineStr">
        <is>
          <t>DR DRILLS COMPLIANT:</t>
        </is>
      </c>
      <c r="I3" s="70">
        <f>COUNTIF(J10:J30, "Passed")&amp;" / "&amp;COUNTA(A10:A30)</f>
        <v/>
      </c>
    </row>
    <row r="9" ht="26" customHeight="1">
      <c r="A9" s="47" t="inlineStr">
        <is>
          <t>System / Database Name</t>
        </is>
      </c>
      <c r="B9" s="47" t="inlineStr">
        <is>
          <t>Backup Type</t>
        </is>
      </c>
      <c r="C9" s="47" t="inlineStr">
        <is>
          <t>Frequency</t>
        </is>
      </c>
      <c r="D9" s="47" t="inlineStr">
        <is>
          <t>Target RPO (Hrs)</t>
        </is>
      </c>
      <c r="E9" s="47" t="inlineStr">
        <is>
          <t>Target RTO (Hrs)</t>
        </is>
      </c>
      <c r="F9" s="47" t="inlineStr">
        <is>
          <t>Last Backup Date</t>
        </is>
      </c>
      <c r="G9" s="47" t="inlineStr">
        <is>
          <t>Backup Status</t>
        </is>
      </c>
      <c r="H9" s="47" t="inlineStr">
        <is>
          <t>Storage Target</t>
        </is>
      </c>
      <c r="I9" s="47" t="inlineStr">
        <is>
          <t>Encryption Status</t>
        </is>
      </c>
      <c r="J9" s="47" t="inlineStr">
        <is>
          <t>Last DR Drill Date</t>
        </is>
      </c>
      <c r="K9" s="47" t="inlineStr">
        <is>
          <t>DR Drill Result</t>
        </is>
      </c>
      <c r="L9" s="47" t="inlineStr">
        <is>
          <t>DR Lead</t>
        </is>
      </c>
    </row>
    <row r="10" ht="20" customHeight="1">
      <c r="A10" s="35" t="inlineStr">
        <is>
          <t>SAP ERP Database (Aurora PostgreSQL)</t>
        </is>
      </c>
      <c r="B10" s="37" t="inlineStr">
        <is>
          <t>Snapshot &amp; WAL Logs</t>
        </is>
      </c>
      <c r="C10" s="37" t="inlineStr">
        <is>
          <t>Continuous (5 min)</t>
        </is>
      </c>
      <c r="D10" s="101" t="n">
        <v>0.25</v>
      </c>
      <c r="E10" s="101" t="n">
        <v>2</v>
      </c>
      <c r="F10" s="37" t="inlineStr">
        <is>
          <t>2026-03-10 04:00</t>
        </is>
      </c>
      <c r="G10" s="38" t="inlineStr">
        <is>
          <t>Successful</t>
        </is>
      </c>
      <c r="H10" s="36" t="inlineStr">
        <is>
          <t>AWS S3 Multi-Region</t>
        </is>
      </c>
      <c r="I10" s="37" t="inlineStr">
        <is>
          <t>AES-256</t>
        </is>
      </c>
      <c r="J10" s="37" t="inlineStr">
        <is>
          <t>2026-01-20</t>
        </is>
      </c>
      <c r="K10" s="38" t="inlineStr">
        <is>
          <t>Passed</t>
        </is>
      </c>
      <c r="L10" s="36" t="inlineStr">
        <is>
          <t>Alex Kurniawan</t>
        </is>
      </c>
    </row>
    <row r="11" ht="20" customHeight="1">
      <c r="A11" s="35" t="inlineStr">
        <is>
          <t>Customer Mobile API MongoDB Cluster</t>
        </is>
      </c>
      <c r="B11" s="37" t="inlineStr">
        <is>
          <t>Point-in-Time OpLog</t>
        </is>
      </c>
      <c r="C11" s="37" t="inlineStr">
        <is>
          <t>Continuous</t>
        </is>
      </c>
      <c r="D11" s="101" t="n">
        <v>0.5</v>
      </c>
      <c r="E11" s="101" t="n">
        <v>2</v>
      </c>
      <c r="F11" s="37" t="inlineStr">
        <is>
          <t>2026-03-10 04:15</t>
        </is>
      </c>
      <c r="G11" s="38" t="inlineStr">
        <is>
          <t>Successful</t>
        </is>
      </c>
      <c r="H11" s="36" t="inlineStr">
        <is>
          <t>Atlas Cross-Cloud S3</t>
        </is>
      </c>
      <c r="I11" s="37" t="inlineStr">
        <is>
          <t>AES-256</t>
        </is>
      </c>
      <c r="J11" s="37" t="inlineStr">
        <is>
          <t>2026-01-20</t>
        </is>
      </c>
      <c r="K11" s="38" t="inlineStr">
        <is>
          <t>Passed</t>
        </is>
      </c>
      <c r="L11" s="36" t="inlineStr">
        <is>
          <t>Alex Kurniawan</t>
        </is>
      </c>
    </row>
    <row r="12" ht="20" customHeight="1">
      <c r="A12" s="35" t="inlineStr">
        <is>
          <t>Corporate Active Directory System State</t>
        </is>
      </c>
      <c r="B12" s="37" t="inlineStr">
        <is>
          <t>Bare Metal &amp; State</t>
        </is>
      </c>
      <c r="C12" s="37" t="inlineStr">
        <is>
          <t>Daily</t>
        </is>
      </c>
      <c r="D12" s="101" t="n">
        <v>24</v>
      </c>
      <c r="E12" s="101" t="n">
        <v>4</v>
      </c>
      <c r="F12" s="37" t="inlineStr">
        <is>
          <t>2026-03-10 02:00</t>
        </is>
      </c>
      <c r="G12" s="38" t="inlineStr">
        <is>
          <t>Successful</t>
        </is>
      </c>
      <c r="H12" s="36" t="inlineStr">
        <is>
          <t>Azure Vault &amp; On-Prem NAS</t>
        </is>
      </c>
      <c r="I12" s="37" t="inlineStr">
        <is>
          <t>BitLocker / AES</t>
        </is>
      </c>
      <c r="J12" s="37" t="inlineStr">
        <is>
          <t>2026-02-15</t>
        </is>
      </c>
      <c r="K12" s="38" t="inlineStr">
        <is>
          <t>Passed</t>
        </is>
      </c>
      <c r="L12" s="36" t="inlineStr">
        <is>
          <t>Siti Rahma</t>
        </is>
      </c>
    </row>
    <row r="13" ht="20" customHeight="1">
      <c r="A13" s="35" t="inlineStr">
        <is>
          <t>Internal File Server (NAS Shares)</t>
        </is>
      </c>
      <c r="B13" s="37" t="inlineStr">
        <is>
          <t>Incremental / Full Sun</t>
        </is>
      </c>
      <c r="C13" s="37" t="inlineStr">
        <is>
          <t>Daily / Weekly</t>
        </is>
      </c>
      <c r="D13" s="101" t="n">
        <v>24</v>
      </c>
      <c r="E13" s="101" t="n">
        <v>8</v>
      </c>
      <c r="F13" s="37" t="inlineStr">
        <is>
          <t>2026-03-10 01:00</t>
        </is>
      </c>
      <c r="G13" s="38" t="inlineStr">
        <is>
          <t>Successful</t>
        </is>
      </c>
      <c r="H13" s="36" t="inlineStr">
        <is>
          <t>Offsite Wasabi S3</t>
        </is>
      </c>
      <c r="I13" s="37" t="inlineStr">
        <is>
          <t>AES-256</t>
        </is>
      </c>
      <c r="J13" s="37" t="inlineStr">
        <is>
          <t>2026-02-15</t>
        </is>
      </c>
      <c r="K13" s="38" t="inlineStr">
        <is>
          <t>Passed</t>
        </is>
      </c>
      <c r="L13" s="36" t="inlineStr">
        <is>
          <t>Kevin Sanjaya</t>
        </is>
      </c>
    </row>
    <row r="14" ht="20" customHeight="1">
      <c r="A14" s="35" t="inlineStr">
        <is>
          <t>Core Network Switch &amp; Firewall Configs</t>
        </is>
      </c>
      <c r="B14" s="37" t="inlineStr">
        <is>
          <t>Configuration Export</t>
        </is>
      </c>
      <c r="C14" s="37" t="inlineStr">
        <is>
          <t>Weekly</t>
        </is>
      </c>
      <c r="D14" s="101" t="n">
        <v>168</v>
      </c>
      <c r="E14" s="101" t="n">
        <v>1</v>
      </c>
      <c r="F14" s="37" t="inlineStr">
        <is>
          <t>2026-03-08 23:00</t>
        </is>
      </c>
      <c r="G14" s="38" t="inlineStr">
        <is>
          <t>Successful</t>
        </is>
      </c>
      <c r="H14" s="36" t="inlineStr">
        <is>
          <t>Encrypted Git Repo &amp; S3</t>
        </is>
      </c>
      <c r="I14" s="37" t="inlineStr">
        <is>
          <t>GPG / KMS</t>
        </is>
      </c>
      <c r="J14" s="37" t="inlineStr">
        <is>
          <t>2026-01-10</t>
        </is>
      </c>
      <c r="K14" s="38" t="inlineStr">
        <is>
          <t>Passed</t>
        </is>
      </c>
      <c r="L14" s="36" t="inlineStr">
        <is>
          <t>Rian Pratama</t>
        </is>
      </c>
    </row>
    <row r="15" ht="20" customHeight="1">
      <c r="A15" s="35" t="inlineStr">
        <is>
          <t>Corporate M365 &amp; Google Workspace Mail</t>
        </is>
      </c>
      <c r="B15" s="37" t="inlineStr">
        <is>
          <t>SaaS Cloud-to-Cloud</t>
        </is>
      </c>
      <c r="C15" s="37" t="inlineStr">
        <is>
          <t>Daily (3x)</t>
        </is>
      </c>
      <c r="D15" s="101" t="n">
        <v>8</v>
      </c>
      <c r="E15" s="101" t="n">
        <v>4</v>
      </c>
      <c r="F15" s="37" t="inlineStr">
        <is>
          <t>2026-03-10 06:00</t>
        </is>
      </c>
      <c r="G15" s="38" t="inlineStr">
        <is>
          <t>Successful</t>
        </is>
      </c>
      <c r="H15" s="36" t="inlineStr">
        <is>
          <t>Veeam Cloud Backup</t>
        </is>
      </c>
      <c r="I15" s="37" t="inlineStr">
        <is>
          <t>AES-256</t>
        </is>
      </c>
      <c r="J15" s="37" t="inlineStr">
        <is>
          <t>2026-02-28</t>
        </is>
      </c>
      <c r="K15" s="38" t="inlineStr">
        <is>
          <t>Passed</t>
        </is>
      </c>
      <c r="L15" s="36" t="inlineStr">
        <is>
          <t>Siti Rahma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18" customWidth="1" min="3" max="3"/>
    <col width="24" customWidth="1" min="4" max="4"/>
    <col width="14" customWidth="1" min="5" max="5"/>
    <col width="14" customWidth="1" min="6" max="6"/>
    <col width="18" customWidth="1" min="7" max="7"/>
    <col width="16" customWidth="1" min="8" max="8"/>
    <col width="16" customWidth="1" min="9" max="9"/>
    <col width="16" customWidth="1" min="10" max="10"/>
    <col width="14" customWidth="1" min="11" max="11"/>
    <col width="18" customWidth="1" min="12" max="12"/>
    <col width="36" customWidth="1" min="13" max="13"/>
  </cols>
  <sheetData>
    <row r="1" ht="36" customHeight="1">
      <c r="A1" s="1" t="inlineStr">
        <is>
          <t>IT PROJECT PORTFOLIO MANAGEMENT (PMO) SCORECARD</t>
        </is>
      </c>
    </row>
    <row r="2" ht="20" customHeight="1">
      <c r="A2" s="2" t="inlineStr">
        <is>
          <t>Strategic Initiatives, Milestone Progress, Budget Execution, &amp; Delivery Risk RAG</t>
        </is>
      </c>
    </row>
    <row r="3" ht="20" customHeight="1">
      <c r="A3" s="39" t="inlineStr">
        <is>
          <t>TOTAL IT PORTFOLIO BUDGET:</t>
        </is>
      </c>
      <c r="C3" s="90">
        <f>SUM(H10:H25)</f>
        <v/>
      </c>
      <c r="D3" s="39" t="inlineStr">
        <is>
          <t>TOTAL SPENT TO DATE:</t>
        </is>
      </c>
      <c r="F3" s="99">
        <f>SUM(I10:I25)</f>
        <v/>
      </c>
      <c r="G3" s="39" t="inlineStr">
        <is>
          <t>PROJECTS ON TRACK:</t>
        </is>
      </c>
      <c r="I3" s="70">
        <f>COUNTIF(L10:L25, "On Track")&amp;" / "&amp;COUNTA(A10:A25)</f>
        <v/>
      </c>
    </row>
    <row r="9" ht="26" customHeight="1">
      <c r="A9" s="47" t="inlineStr">
        <is>
          <t>Project Code</t>
        </is>
      </c>
      <c r="B9" s="47" t="inlineStr">
        <is>
          <t>Initiative Name</t>
        </is>
      </c>
      <c r="C9" s="47" t="inlineStr">
        <is>
          <t>Project Manager</t>
        </is>
      </c>
      <c r="D9" s="47" t="inlineStr">
        <is>
          <t>Executive Sponsor</t>
        </is>
      </c>
      <c r="E9" s="47" t="inlineStr">
        <is>
          <t>Start Date</t>
        </is>
      </c>
      <c r="F9" s="47" t="inlineStr">
        <is>
          <t>Target End Date</t>
        </is>
      </c>
      <c r="G9" s="47" t="inlineStr">
        <is>
          <t>Current Phase</t>
        </is>
      </c>
      <c r="H9" s="47" t="inlineStr">
        <is>
          <t>Budget ($)</t>
        </is>
      </c>
      <c r="I9" s="47" t="inlineStr">
        <is>
          <t>Actual Spend ($)</t>
        </is>
      </c>
      <c r="J9" s="47" t="inlineStr">
        <is>
          <t>Budget Var ($)</t>
        </is>
      </c>
      <c r="K9" s="47" t="inlineStr">
        <is>
          <t>Progress %</t>
        </is>
      </c>
      <c r="L9" s="47" t="inlineStr">
        <is>
          <t>RAG Status</t>
        </is>
      </c>
      <c r="M9" s="47" t="inlineStr">
        <is>
          <t>Key Milestone Ahead</t>
        </is>
      </c>
    </row>
    <row r="10" ht="20" customHeight="1">
      <c r="A10" s="48" t="inlineStr">
        <is>
          <t>PRJ-2026-01</t>
        </is>
      </c>
      <c r="B10" s="59" t="inlineStr">
        <is>
          <t>Core ERP Migration to SAP S/4HANA Cloud</t>
        </is>
      </c>
      <c r="C10" s="49" t="inlineStr">
        <is>
          <t>Alex Kurniawan</t>
        </is>
      </c>
      <c r="D10" s="49" t="inlineStr">
        <is>
          <t>Chief Financial Officer</t>
        </is>
      </c>
      <c r="E10" s="49" t="inlineStr">
        <is>
          <t>2025-10-01</t>
        </is>
      </c>
      <c r="F10" s="49" t="inlineStr">
        <is>
          <t>2026-06-30</t>
        </is>
      </c>
      <c r="G10" s="49" t="inlineStr">
        <is>
          <t>Testing &amp; UAT</t>
        </is>
      </c>
      <c r="H10" s="92" t="n">
        <v>250000</v>
      </c>
      <c r="I10" s="97" t="n">
        <v>185000</v>
      </c>
      <c r="J10" s="94">
        <f>H10-I10</f>
        <v/>
      </c>
      <c r="K10" s="102" t="n">
        <v>0.75</v>
      </c>
      <c r="L10" s="51" t="inlineStr">
        <is>
          <t>On Track</t>
        </is>
      </c>
      <c r="M10" s="49" t="inlineStr">
        <is>
          <t>User Acceptance Testing Sign-off</t>
        </is>
      </c>
    </row>
    <row r="11" ht="20" customHeight="1">
      <c r="A11" s="48" t="inlineStr">
        <is>
          <t>PRJ-2026-02</t>
        </is>
      </c>
      <c r="B11" s="59" t="inlineStr">
        <is>
          <t>Zero Trust Network Access (ZTNA) Rollout</t>
        </is>
      </c>
      <c r="C11" s="49" t="inlineStr">
        <is>
          <t>Rian Pratama</t>
        </is>
      </c>
      <c r="D11" s="49" t="inlineStr">
        <is>
          <t>Chief Information Security Officer</t>
        </is>
      </c>
      <c r="E11" s="49" t="inlineStr">
        <is>
          <t>2026-01-05</t>
        </is>
      </c>
      <c r="F11" s="49" t="inlineStr">
        <is>
          <t>2026-04-30</t>
        </is>
      </c>
      <c r="G11" s="49" t="inlineStr">
        <is>
          <t>In Progress</t>
        </is>
      </c>
      <c r="H11" s="92" t="n">
        <v>85000</v>
      </c>
      <c r="I11" s="97" t="n">
        <v>48000</v>
      </c>
      <c r="J11" s="94">
        <f>H11-I11</f>
        <v/>
      </c>
      <c r="K11" s="102" t="n">
        <v>0.6</v>
      </c>
      <c r="L11" s="51" t="inlineStr">
        <is>
          <t>On Track</t>
        </is>
      </c>
      <c r="M11" s="49" t="inlineStr">
        <is>
          <t>Decommission legacy VPN concentrators</t>
        </is>
      </c>
    </row>
    <row r="12" ht="20" customHeight="1">
      <c r="A12" s="48" t="inlineStr">
        <is>
          <t>PRJ-2026-03</t>
        </is>
      </c>
      <c r="B12" s="59" t="inlineStr">
        <is>
          <t>Enterprise Data Lakehouse &amp; BI Platform</t>
        </is>
      </c>
      <c r="C12" s="49" t="inlineStr">
        <is>
          <t>Bambang Wijaya</t>
        </is>
      </c>
      <c r="D12" s="49" t="inlineStr">
        <is>
          <t>Chief Technology Officer</t>
        </is>
      </c>
      <c r="E12" s="49" t="inlineStr">
        <is>
          <t>2025-11-15</t>
        </is>
      </c>
      <c r="F12" s="49" t="inlineStr">
        <is>
          <t>2026-05-31</t>
        </is>
      </c>
      <c r="G12" s="49" t="inlineStr">
        <is>
          <t>In Progress</t>
        </is>
      </c>
      <c r="H12" s="92" t="n">
        <v>120000</v>
      </c>
      <c r="I12" s="97" t="n">
        <v>92000</v>
      </c>
      <c r="J12" s="94">
        <f>H12-I12</f>
        <v/>
      </c>
      <c r="K12" s="102" t="n">
        <v>0.65</v>
      </c>
      <c r="L12" s="50" t="inlineStr">
        <is>
          <t>Needs Attention</t>
        </is>
      </c>
      <c r="M12" s="49" t="inlineStr">
        <is>
          <t>Sales &amp; Marketing pipeline ETL validation</t>
        </is>
      </c>
    </row>
    <row r="13" ht="20" customHeight="1">
      <c r="A13" s="48" t="inlineStr">
        <is>
          <t>PRJ-2026-04</t>
        </is>
      </c>
      <c r="B13" s="59" t="inlineStr">
        <is>
          <t>Employee Laptops Hardware Refresh (Batch 1)</t>
        </is>
      </c>
      <c r="C13" s="49" t="inlineStr">
        <is>
          <t>Kevin Sanjaya</t>
        </is>
      </c>
      <c r="D13" s="49" t="inlineStr">
        <is>
          <t>VP Human Capital</t>
        </is>
      </c>
      <c r="E13" s="49" t="inlineStr">
        <is>
          <t>2026-02-01</t>
        </is>
      </c>
      <c r="F13" s="49" t="inlineStr">
        <is>
          <t>2026-03-31</t>
        </is>
      </c>
      <c r="G13" s="49" t="inlineStr">
        <is>
          <t>Deployment</t>
        </is>
      </c>
      <c r="H13" s="92" t="n">
        <v>65000</v>
      </c>
      <c r="I13" s="97" t="n">
        <v>61500</v>
      </c>
      <c r="J13" s="94">
        <f>H13-I13</f>
        <v/>
      </c>
      <c r="K13" s="102" t="n">
        <v>0.9</v>
      </c>
      <c r="L13" s="51" t="inlineStr">
        <is>
          <t>On Track</t>
        </is>
      </c>
      <c r="M13" s="49" t="inlineStr">
        <is>
          <t>Final 25 MacBook handovers</t>
        </is>
      </c>
    </row>
    <row r="14" ht="20" customHeight="1">
      <c r="A14" s="48" t="inlineStr">
        <is>
          <t>PRJ-2026-05</t>
        </is>
      </c>
      <c r="B14" s="59" t="inlineStr">
        <is>
          <t>Automated Service Desk Chatbot (AI ITIL)</t>
        </is>
      </c>
      <c r="C14" s="49" t="inlineStr">
        <is>
          <t>Siti Rahma</t>
        </is>
      </c>
      <c r="D14" s="49" t="inlineStr">
        <is>
          <t>Head of IT Operations</t>
        </is>
      </c>
      <c r="E14" s="49" t="inlineStr">
        <is>
          <t>2026-02-15</t>
        </is>
      </c>
      <c r="F14" s="49" t="inlineStr">
        <is>
          <t>2026-04-15</t>
        </is>
      </c>
      <c r="G14" s="49" t="inlineStr">
        <is>
          <t>Testing &amp; UAT</t>
        </is>
      </c>
      <c r="H14" s="92" t="n">
        <v>35000</v>
      </c>
      <c r="I14" s="97" t="n">
        <v>22000</v>
      </c>
      <c r="J14" s="94">
        <f>H14-I14</f>
        <v/>
      </c>
      <c r="K14" s="102" t="n">
        <v>0.5</v>
      </c>
      <c r="L14" s="51" t="inlineStr">
        <is>
          <t>On Track</t>
        </is>
      </c>
      <c r="M14" s="49" t="inlineStr">
        <is>
          <t>Slack &amp; Teams webhook integration</t>
        </is>
      </c>
    </row>
  </sheetData>
  <mergeCells count="5">
    <mergeCell ref="A1:M1"/>
    <mergeCell ref="A2:M2"/>
    <mergeCell ref="D3:E3"/>
    <mergeCell ref="A3:B3"/>
    <mergeCell ref="G3:H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28" customWidth="1" min="2" max="2"/>
    <col width="14" customWidth="1" min="3" max="3"/>
    <col width="14" customWidth="1" min="4" max="4"/>
    <col width="18" customWidth="1" min="5" max="5"/>
    <col width="14" customWidth="1" min="6" max="6"/>
    <col width="20" customWidth="1" min="7" max="7"/>
    <col width="14" customWidth="1" min="8" max="8"/>
    <col width="14" customWidth="1" min="9" max="9"/>
    <col width="16" customWidth="1" min="10" max="10"/>
    <col width="14" customWidth="1" min="11" max="11"/>
    <col width="26" customWidth="1" min="12" max="12"/>
  </cols>
  <sheetData>
    <row r="1" ht="36" customHeight="1">
      <c r="A1" s="1" t="inlineStr">
        <is>
          <t>IT VENDOR GOVERNANCE &amp; CONTRACT SLA TRACKER</t>
        </is>
      </c>
    </row>
    <row r="2" ht="20" customHeight="1">
      <c r="A2" s="2" t="inlineStr">
        <is>
          <t>Service Agreements, Contract Expiration Timelines, &amp; Vendor SLA Performance</t>
        </is>
      </c>
    </row>
    <row r="3" ht="20" customHeight="1">
      <c r="A3" s="39" t="inlineStr">
        <is>
          <t>TOTAL ANNUAL CONTRACT VALUE:</t>
        </is>
      </c>
      <c r="C3" s="90">
        <f>SUM(E10:E25)</f>
        <v/>
      </c>
      <c r="D3" s="39" t="inlineStr">
        <is>
          <t>ACTIVE VENDORS:</t>
        </is>
      </c>
      <c r="F3" s="40">
        <f>COUNTA(A10:A25)</f>
        <v/>
      </c>
      <c r="G3" s="39" t="inlineStr">
        <is>
          <t>EXPIRING IN &lt;= 90 DAYS:</t>
        </is>
      </c>
      <c r="I3" s="71">
        <f>COUNTIF(H10:H25, "Review Approaching") + COUNTIF(H10:H25, "Action Required")</f>
        <v/>
      </c>
    </row>
    <row r="9" ht="26" customHeight="1">
      <c r="A9" s="47" t="inlineStr">
        <is>
          <t>Vendor Name</t>
        </is>
      </c>
      <c r="B9" s="47" t="inlineStr">
        <is>
          <t>Service Category</t>
        </is>
      </c>
      <c r="C9" s="47" t="inlineStr">
        <is>
          <t>Contract Start</t>
        </is>
      </c>
      <c r="D9" s="47" t="inlineStr">
        <is>
          <t>Contract End Date</t>
        </is>
      </c>
      <c r="E9" s="47" t="inlineStr">
        <is>
          <t>Annual Value ($)</t>
        </is>
      </c>
      <c r="F9" s="47" t="inlineStr">
        <is>
          <t>Days to Expiry</t>
        </is>
      </c>
      <c r="G9" s="47" t="inlineStr">
        <is>
          <t>Renewal Status</t>
        </is>
      </c>
      <c r="H9" s="47" t="inlineStr">
        <is>
          <t>Target SLA %</t>
        </is>
      </c>
      <c r="I9" s="47" t="inlineStr">
        <is>
          <t>Actual SLA %</t>
        </is>
      </c>
      <c r="J9" s="47" t="inlineStr">
        <is>
          <t>SLA Adherence</t>
        </is>
      </c>
      <c r="K9" s="47" t="inlineStr">
        <is>
          <t>Vendor Rating (1-5)</t>
        </is>
      </c>
      <c r="L9" s="47" t="inlineStr">
        <is>
          <t>Account Manager</t>
        </is>
      </c>
    </row>
    <row r="10" ht="20" customHeight="1">
      <c r="A10" s="59" t="inlineStr">
        <is>
          <t>Amazon Web Services (AWS)</t>
        </is>
      </c>
      <c r="B10" s="49" t="inlineStr">
        <is>
          <t>Cloud Infrastructure &amp; Hosting</t>
        </is>
      </c>
      <c r="C10" s="49" t="inlineStr">
        <is>
          <t>2024-01-01</t>
        </is>
      </c>
      <c r="D10" s="49" t="inlineStr">
        <is>
          <t>2027-01-01</t>
        </is>
      </c>
      <c r="E10" s="92" t="n">
        <v>240000</v>
      </c>
      <c r="F10" s="87">
        <f>DATEVALUE(D10)-TODAY()</f>
        <v/>
      </c>
      <c r="G10" s="54">
        <f>IF(F10&lt;=30, "Action Required", IF(F10&lt;=90, "Review Approaching", "Active Contract"))</f>
        <v/>
      </c>
      <c r="H10" s="103" t="n">
        <v>0.9999</v>
      </c>
      <c r="I10" s="104" t="n">
        <v>0.9999</v>
      </c>
      <c r="J10" s="54">
        <f>IF(I10&gt;=H10, "Met SLA", "Missed SLA")</f>
        <v/>
      </c>
      <c r="K10" s="55" t="n">
        <v>5</v>
      </c>
      <c r="L10" s="49" t="inlineStr">
        <is>
          <t>Ferry Tan (AWS Enterprise)</t>
        </is>
      </c>
    </row>
    <row r="11" ht="20" customHeight="1">
      <c r="A11" s="59" t="inlineStr">
        <is>
          <t>PT Telkom Indonesia</t>
        </is>
      </c>
      <c r="B11" s="49" t="inlineStr">
        <is>
          <t>Primary Internet &amp; Dark Fibre</t>
        </is>
      </c>
      <c r="C11" s="49" t="inlineStr">
        <is>
          <t>2025-06-01</t>
        </is>
      </c>
      <c r="D11" s="49" t="inlineStr">
        <is>
          <t>2026-06-01</t>
        </is>
      </c>
      <c r="E11" s="92" t="n">
        <v>33600</v>
      </c>
      <c r="F11" s="87">
        <f>DATEVALUE(D11)-TODAY()</f>
        <v/>
      </c>
      <c r="G11" s="54">
        <f>IF(F11&lt;=30, "Action Required", IF(F11&lt;=90, "Review Approaching", "Active Contract"))</f>
        <v/>
      </c>
      <c r="H11" s="103" t="n">
        <v>0.999</v>
      </c>
      <c r="I11" s="104" t="n">
        <v>0.9995000000000001</v>
      </c>
      <c r="J11" s="54">
        <f>IF(I11&gt;=H11, "Met SLA", "Missed SLA")</f>
        <v/>
      </c>
      <c r="K11" s="55" t="n">
        <v>4</v>
      </c>
      <c r="L11" s="49" t="inlineStr">
        <is>
          <t>Bambang Tri (Telkom Corp)</t>
        </is>
      </c>
    </row>
    <row r="12" ht="20" customHeight="1">
      <c r="A12" s="59" t="inlineStr">
        <is>
          <t>Indosat Ooredoo Hutchison</t>
        </is>
      </c>
      <c r="B12" s="49" t="inlineStr">
        <is>
          <t>Secondary Internet Leased Line</t>
        </is>
      </c>
      <c r="C12" s="49" t="inlineStr">
        <is>
          <t>2025-07-01</t>
        </is>
      </c>
      <c r="D12" s="49" t="inlineStr">
        <is>
          <t>2026-07-01</t>
        </is>
      </c>
      <c r="E12" s="92" t="n">
        <v>18000</v>
      </c>
      <c r="F12" s="87">
        <f>DATEVALUE(D12)-TODAY()</f>
        <v/>
      </c>
      <c r="G12" s="54">
        <f>IF(F12&lt;=30, "Action Required", IF(F12&lt;=90, "Review Approaching", "Active Contract"))</f>
        <v/>
      </c>
      <c r="H12" s="103" t="n">
        <v>0.995</v>
      </c>
      <c r="I12" s="104" t="n">
        <v>0.996</v>
      </c>
      <c r="J12" s="54">
        <f>IF(I12&gt;=H12, "Met SLA", "Missed SLA")</f>
        <v/>
      </c>
      <c r="K12" s="55" t="n">
        <v>4</v>
      </c>
      <c r="L12" s="49" t="inlineStr">
        <is>
          <t>Rudi Hartono (Indosat Business)</t>
        </is>
      </c>
    </row>
    <row r="13" ht="20" customHeight="1">
      <c r="A13" s="59" t="inlineStr">
        <is>
          <t>CrowdStrike Inc</t>
        </is>
      </c>
      <c r="B13" s="49" t="inlineStr">
        <is>
          <t>Cybersecurity EDR &amp; MDR Service</t>
        </is>
      </c>
      <c r="C13" s="49" t="inlineStr">
        <is>
          <t>2025-12-15</t>
        </is>
      </c>
      <c r="D13" s="49" t="inlineStr">
        <is>
          <t>2026-12-15</t>
        </is>
      </c>
      <c r="E13" s="92" t="n">
        <v>45600</v>
      </c>
      <c r="F13" s="87">
        <f>DATEVALUE(D13)-TODAY()</f>
        <v/>
      </c>
      <c r="G13" s="54">
        <f>IF(F13&lt;=30, "Action Required", IF(F13&lt;=90, "Review Approaching", "Active Contract"))</f>
        <v/>
      </c>
      <c r="H13" s="103" t="n">
        <v>0.999</v>
      </c>
      <c r="I13" s="104" t="n">
        <v>0.9995000000000001</v>
      </c>
      <c r="J13" s="54">
        <f>IF(I13&gt;=H13, "Met SLA", "Missed SLA")</f>
        <v/>
      </c>
      <c r="K13" s="55" t="n">
        <v>5</v>
      </c>
      <c r="L13" s="49" t="inlineStr">
        <is>
          <t>Jessica Lin (CrowdStrike AP)</t>
        </is>
      </c>
    </row>
    <row r="14" ht="20" customHeight="1">
      <c r="A14" s="59" t="inlineStr">
        <is>
          <t>Equinix Data Centers</t>
        </is>
      </c>
      <c r="B14" s="49" t="inlineStr">
        <is>
          <t>Colocation, Power &amp; Smart Hands</t>
        </is>
      </c>
      <c r="C14" s="49" t="inlineStr">
        <is>
          <t>2024-04-01</t>
        </is>
      </c>
      <c r="D14" s="49" t="inlineStr">
        <is>
          <t>2027-04-01</t>
        </is>
      </c>
      <c r="E14" s="92" t="n">
        <v>54000</v>
      </c>
      <c r="F14" s="87">
        <f>DATEVALUE(D14)-TODAY()</f>
        <v/>
      </c>
      <c r="G14" s="54">
        <f>IF(F14&lt;=30, "Action Required", IF(F14&lt;=90, "Review Approaching", "Active Contract"))</f>
        <v/>
      </c>
      <c r="H14" s="103" t="n">
        <v>0.9999</v>
      </c>
      <c r="I14" s="104" t="n">
        <v>0.9999</v>
      </c>
      <c r="J14" s="54">
        <f>IF(I14&gt;=H14, "Met SLA", "Missed SLA")</f>
        <v/>
      </c>
      <c r="K14" s="55" t="n">
        <v>5</v>
      </c>
      <c r="L14" s="49" t="inlineStr">
        <is>
          <t>David Lim (Equinix SG/ID)</t>
        </is>
      </c>
    </row>
    <row r="15" ht="20" customHeight="1">
      <c r="A15" s="59" t="inlineStr">
        <is>
          <t>Dell Technologies</t>
        </is>
      </c>
      <c r="B15" s="49" t="inlineStr">
        <is>
          <t>Server &amp; Storage OEM Support ProPlus</t>
        </is>
      </c>
      <c r="C15" s="49" t="inlineStr">
        <is>
          <t>2023-04-15</t>
        </is>
      </c>
      <c r="D15" s="49" t="inlineStr">
        <is>
          <t>2026-04-15</t>
        </is>
      </c>
      <c r="E15" s="92" t="n">
        <v>18500</v>
      </c>
      <c r="F15" s="87">
        <f>DATEVALUE(D15)-TODAY()</f>
        <v/>
      </c>
      <c r="G15" s="54">
        <f>IF(F15&lt;=30, "Action Required", IF(F15&lt;=90, "Review Approaching", "Active Contract"))</f>
        <v/>
      </c>
      <c r="H15" s="103" t="n">
        <v>0.99</v>
      </c>
      <c r="I15" s="104" t="n">
        <v>0.992</v>
      </c>
      <c r="J15" s="54">
        <f>IF(I15&gt;=H15, "Met SLA", "Missed SLA")</f>
        <v/>
      </c>
      <c r="K15" s="55" t="n">
        <v>4</v>
      </c>
      <c r="L15" s="49" t="inlineStr">
        <is>
          <t>Andre Wijaya (Dell EMC)</t>
        </is>
      </c>
    </row>
    <row r="16" ht="20" customHeight="1">
      <c r="A16" s="59" t="inlineStr">
        <is>
          <t>Zscaler Inc</t>
        </is>
      </c>
      <c r="B16" s="49" t="inlineStr">
        <is>
          <t>SASE Cloud Security &amp; Web Gateway</t>
        </is>
      </c>
      <c r="C16" s="49" t="inlineStr">
        <is>
          <t>2025-11-01</t>
        </is>
      </c>
      <c r="D16" s="49" t="inlineStr">
        <is>
          <t>2026-10-31</t>
        </is>
      </c>
      <c r="E16" s="92" t="n">
        <v>33600</v>
      </c>
      <c r="F16" s="87">
        <f>DATEVALUE(D16)-TODAY()</f>
        <v/>
      </c>
      <c r="G16" s="54">
        <f>IF(F16&lt;=30, "Action Required", IF(F16&lt;=90, "Review Approaching", "Active Contract"))</f>
        <v/>
      </c>
      <c r="H16" s="103" t="n">
        <v>0.999</v>
      </c>
      <c r="I16" s="104" t="n">
        <v>0.9992</v>
      </c>
      <c r="J16" s="54">
        <f>IF(I16&gt;=H16, "Met SLA", "Missed SLA")</f>
        <v/>
      </c>
      <c r="K16" s="55" t="n">
        <v>5</v>
      </c>
      <c r="L16" s="49" t="inlineStr">
        <is>
          <t>Alvin Goh (Zscaler ASEAN)</t>
        </is>
      </c>
    </row>
  </sheetData>
  <mergeCells count="5">
    <mergeCell ref="A2:L2"/>
    <mergeCell ref="A1:L1"/>
    <mergeCell ref="D3:E3"/>
    <mergeCell ref="A3:B3"/>
    <mergeCell ref="G3:H3"/>
  </mergeCells>
  <conditionalFormatting sqref="G10:G25">
    <cfRule type="cellIs" priority="1" operator="equal" dxfId="0" stopIfTrue="1">
      <formula>"Active Contract"</formula>
    </cfRule>
    <cfRule type="cellIs" priority="2" operator="equal" dxfId="2" stopIfTrue="1">
      <formula>"Review Approaching"</formula>
    </cfRule>
    <cfRule type="cellIs" priority="3" operator="equal" dxfId="1" stopIfTrue="1">
      <formula>"Action Required"</formula>
    </cfRule>
  </conditionalFormatting>
  <conditionalFormatting sqref="J10:J25">
    <cfRule type="cellIs" priority="4" operator="equal" dxfId="0" stopIfTrue="1">
      <formula>"Met SLA"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8" customWidth="1" min="2" max="2"/>
    <col width="36" customWidth="1" min="3" max="3"/>
    <col width="16" customWidth="1" min="4" max="4"/>
    <col width="16" customWidth="1" min="5" max="5"/>
    <col width="14" customWidth="1" min="6" max="6"/>
    <col width="16" customWidth="1" min="7" max="7"/>
    <col width="24" customWidth="1" min="8" max="8"/>
    <col width="16" customWidth="1" min="9" max="9"/>
    <col width="22" customWidth="1" min="10" max="10"/>
  </cols>
  <sheetData>
    <row r="1" ht="36" customHeight="1">
      <c r="A1" s="1" t="inlineStr">
        <is>
          <t>STRATEGIC IT BALANCED SCORECARD &amp; KPIS (COBIT / ITIL)</t>
        </is>
      </c>
    </row>
    <row r="2" ht="20" customHeight="1">
      <c r="A2" s="2" t="inlineStr">
        <is>
          <t>Executive Performance Metrics Across 6 Strategic IT Governance Dimensions</t>
        </is>
      </c>
    </row>
    <row r="4" ht="26" customHeight="1">
      <c r="A4" s="47" t="inlineStr">
        <is>
          <t>Governance Dimension</t>
        </is>
      </c>
      <c r="B4" s="47" t="inlineStr">
        <is>
          <t>Strategic KPI Indicator</t>
        </is>
      </c>
      <c r="C4" s="47" t="inlineStr">
        <is>
          <t>Measurement Formula / Source</t>
        </is>
      </c>
      <c r="D4" s="47" t="inlineStr">
        <is>
          <t>Target SLA</t>
        </is>
      </c>
      <c r="E4" s="47" t="inlineStr">
        <is>
          <t>Current Actual</t>
        </is>
      </c>
      <c r="F4" s="47" t="inlineStr">
        <is>
          <t>Variance</t>
        </is>
      </c>
      <c r="G4" s="47" t="inlineStr">
        <is>
          <t>RAG Status</t>
        </is>
      </c>
      <c r="H4" s="47" t="inlineStr">
        <is>
          <t>Industry Benchmark</t>
        </is>
      </c>
      <c r="I4" s="47" t="inlineStr">
        <is>
          <t>Review Cadence</t>
        </is>
      </c>
      <c r="J4" s="47" t="inlineStr">
        <is>
          <t>Accountable Lead</t>
        </is>
      </c>
    </row>
    <row r="5" ht="22" customHeight="1">
      <c r="A5" s="35" t="inlineStr">
        <is>
          <t>Service Delivery</t>
        </is>
      </c>
      <c r="B5" s="105" t="inlineStr">
        <is>
          <t>First Contact Resolution (FCR) Rate</t>
        </is>
      </c>
      <c r="C5" s="36" t="inlineStr">
        <is>
          <t>Tickets resolved on first contact / Total tickets</t>
        </is>
      </c>
      <c r="D5" s="37" t="inlineStr">
        <is>
          <t>&gt;= 75.0%</t>
        </is>
      </c>
      <c r="E5" s="37" t="inlineStr">
        <is>
          <t>78.5%</t>
        </is>
      </c>
      <c r="F5" s="37" t="inlineStr">
        <is>
          <t>+3.5%</t>
        </is>
      </c>
      <c r="G5" s="38" t="inlineStr">
        <is>
          <t>Compliant</t>
        </is>
      </c>
      <c r="H5" s="36" t="inlineStr">
        <is>
          <t>HDI Benchmark: 72%</t>
        </is>
      </c>
      <c r="I5" s="37" t="inlineStr">
        <is>
          <t>Monthly</t>
        </is>
      </c>
      <c r="J5" s="36" t="inlineStr">
        <is>
          <t>Head of IT Support</t>
        </is>
      </c>
    </row>
    <row r="6" ht="22" customHeight="1">
      <c r="A6" s="35" t="inlineStr">
        <is>
          <t>Service Delivery</t>
        </is>
      </c>
      <c r="B6" s="105" t="inlineStr">
        <is>
          <t>Overall Helpdesk SLA Compliance Rate</t>
        </is>
      </c>
      <c r="C6" s="36">
        <f>'Helpdesk Tickets'!B4</f>
        <v/>
      </c>
      <c r="D6" s="37" t="inlineStr">
        <is>
          <t>&gt;= 95.0%</t>
        </is>
      </c>
      <c r="E6" s="37">
        <f>'Helpdesk Tickets'!B4</f>
        <v/>
      </c>
      <c r="F6" s="37" t="inlineStr">
        <is>
          <t>Formula</t>
        </is>
      </c>
      <c r="G6" s="38" t="inlineStr">
        <is>
          <t>Compliant</t>
        </is>
      </c>
      <c r="H6" s="36" t="inlineStr">
        <is>
          <t>ITIL Standard: 95%</t>
        </is>
      </c>
      <c r="I6" s="37" t="inlineStr">
        <is>
          <t>Weekly</t>
        </is>
      </c>
      <c r="J6" s="36" t="inlineStr">
        <is>
          <t>Head of IT Support</t>
        </is>
      </c>
    </row>
    <row r="7" ht="22" customHeight="1">
      <c r="A7" s="35" t="inlineStr">
        <is>
          <t>Service Delivery</t>
        </is>
      </c>
      <c r="B7" s="105" t="inlineStr">
        <is>
          <t>Average Resolution Time (MTTR - Hrs)</t>
        </is>
      </c>
      <c r="C7" s="36">
        <f>'Helpdesk Tickets'!B5</f>
        <v/>
      </c>
      <c r="D7" s="37" t="inlineStr">
        <is>
          <t>&lt;= 8.0 Hrs</t>
        </is>
      </c>
      <c r="E7" s="37">
        <f>'Helpdesk Tickets'!B5</f>
        <v/>
      </c>
      <c r="F7" s="37" t="inlineStr">
        <is>
          <t>Formula</t>
        </is>
      </c>
      <c r="G7" s="38" t="inlineStr">
        <is>
          <t>Compliant</t>
        </is>
      </c>
      <c r="H7" s="36" t="inlineStr">
        <is>
          <t>Industry Avg: 10.5 Hrs</t>
        </is>
      </c>
      <c r="I7" s="37" t="inlineStr">
        <is>
          <t>Weekly</t>
        </is>
      </c>
      <c r="J7" s="36" t="inlineStr">
        <is>
          <t>Service Desk Lead</t>
        </is>
      </c>
    </row>
    <row r="8" ht="22" customHeight="1">
      <c r="A8" s="35" t="inlineStr">
        <is>
          <t>Customer Experience</t>
        </is>
      </c>
      <c r="B8" s="105" t="inlineStr">
        <is>
          <t>Customer Satisfaction (CSAT Rating)</t>
        </is>
      </c>
      <c r="C8" s="36">
        <f>'Helpdesk Tickets'!B6</f>
        <v/>
      </c>
      <c r="D8" s="37" t="inlineStr">
        <is>
          <t>&gt;= 4.5 / 5.0</t>
        </is>
      </c>
      <c r="E8" s="37">
        <f>'Helpdesk Tickets'!B6</f>
        <v/>
      </c>
      <c r="F8" s="37" t="inlineStr">
        <is>
          <t>Formula</t>
        </is>
      </c>
      <c r="G8" s="38" t="inlineStr">
        <is>
          <t>Compliant</t>
        </is>
      </c>
      <c r="H8" s="36" t="inlineStr">
        <is>
          <t>Top Quartile: 4.4</t>
        </is>
      </c>
      <c r="I8" s="37" t="inlineStr">
        <is>
          <t>Monthly</t>
        </is>
      </c>
      <c r="J8" s="36" t="inlineStr">
        <is>
          <t>Head of IT Support</t>
        </is>
      </c>
    </row>
    <row r="9" ht="22" customHeight="1">
      <c r="A9" s="35" t="inlineStr">
        <is>
          <t>Infrastructure</t>
        </is>
      </c>
      <c r="B9" s="105" t="inlineStr">
        <is>
          <t>Core Enterprise System Availability</t>
        </is>
      </c>
      <c r="C9" s="36">
        <f>'System Uptime'!B3</f>
        <v/>
      </c>
      <c r="D9" s="37" t="inlineStr">
        <is>
          <t>&gt;= 99.90%</t>
        </is>
      </c>
      <c r="E9" s="37">
        <f>'System Uptime'!B3</f>
        <v/>
      </c>
      <c r="F9" s="37" t="inlineStr">
        <is>
          <t>Formula</t>
        </is>
      </c>
      <c r="G9" s="38" t="inlineStr">
        <is>
          <t>Compliant</t>
        </is>
      </c>
      <c r="H9" s="36" t="inlineStr">
        <is>
          <t>Tier-4 Spec: 99.99%</t>
        </is>
      </c>
      <c r="I9" s="37" t="inlineStr">
        <is>
          <t>Monthly</t>
        </is>
      </c>
      <c r="J9" s="36" t="inlineStr">
        <is>
          <t>Head of Infrastructure</t>
        </is>
      </c>
    </row>
    <row r="10" ht="22" customHeight="1">
      <c r="A10" s="35" t="inlineStr">
        <is>
          <t>Infrastructure</t>
        </is>
      </c>
      <c r="B10" s="105" t="inlineStr">
        <is>
          <t>Major Incident Count (P1 Outages)</t>
        </is>
      </c>
      <c r="C10" s="36">
        <f>'Incident &amp; Problem Log'!B3</f>
        <v/>
      </c>
      <c r="D10" s="37" t="inlineStr">
        <is>
          <t>&lt;= 1 / Month</t>
        </is>
      </c>
      <c r="E10" s="37">
        <f>'Incident &amp; Problem Log'!B3</f>
        <v/>
      </c>
      <c r="F10" s="37" t="inlineStr">
        <is>
          <t>Formula</t>
        </is>
      </c>
      <c r="G10" s="38" t="inlineStr">
        <is>
          <t>Compliant</t>
        </is>
      </c>
      <c r="H10" s="36" t="inlineStr">
        <is>
          <t>Zero Unplanned P1</t>
        </is>
      </c>
      <c r="I10" s="37" t="inlineStr">
        <is>
          <t>Monthly</t>
        </is>
      </c>
      <c r="J10" s="36" t="inlineStr">
        <is>
          <t>Incident Commander</t>
        </is>
      </c>
    </row>
    <row r="11" ht="22" customHeight="1">
      <c r="A11" s="35" t="inlineStr">
        <is>
          <t>Change Governance</t>
        </is>
      </c>
      <c r="B11" s="105" t="inlineStr">
        <is>
          <t>Change Implementation Success Rate</t>
        </is>
      </c>
      <c r="C11" s="36">
        <f>'Change Management'!B6</f>
        <v/>
      </c>
      <c r="D11" s="37" t="inlineStr">
        <is>
          <t>&gt;= 98.0%</t>
        </is>
      </c>
      <c r="E11" s="37">
        <f>'Change Management'!B6</f>
        <v/>
      </c>
      <c r="F11" s="37" t="inlineStr">
        <is>
          <t>Formula</t>
        </is>
      </c>
      <c r="G11" s="38" t="inlineStr">
        <is>
          <t>Compliant</t>
        </is>
      </c>
      <c r="H11" s="36" t="inlineStr">
        <is>
          <t>DORA High Perf: 98%</t>
        </is>
      </c>
      <c r="I11" s="37" t="inlineStr">
        <is>
          <t>Monthly</t>
        </is>
      </c>
      <c r="J11" s="36" t="inlineStr">
        <is>
          <t>CAB Chairman</t>
        </is>
      </c>
    </row>
    <row r="12" ht="22" customHeight="1">
      <c r="A12" s="35" t="inlineStr">
        <is>
          <t>Change Governance</t>
        </is>
      </c>
      <c r="B12" s="105" t="inlineStr">
        <is>
          <t>Emergency Change Ratio</t>
        </is>
      </c>
      <c r="C12" s="36" t="inlineStr">
        <is>
          <t>Emergency RFCs / Total RFCs</t>
        </is>
      </c>
      <c r="D12" s="37" t="inlineStr">
        <is>
          <t>&lt;= 5.0%</t>
        </is>
      </c>
      <c r="E12" s="37" t="inlineStr">
        <is>
          <t>12.5%</t>
        </is>
      </c>
      <c r="F12" s="37" t="inlineStr">
        <is>
          <t>+7.5%</t>
        </is>
      </c>
      <c r="G12" s="73" t="inlineStr">
        <is>
          <t>Warning</t>
        </is>
      </c>
      <c r="H12" s="36" t="inlineStr">
        <is>
          <t>ITIL Standard: &lt;= 5%</t>
        </is>
      </c>
      <c r="I12" s="37" t="inlineStr">
        <is>
          <t>Monthly</t>
        </is>
      </c>
      <c r="J12" s="36" t="inlineStr">
        <is>
          <t>CAB Chairman</t>
        </is>
      </c>
    </row>
    <row r="13" ht="22" customHeight="1">
      <c r="A13" s="35" t="inlineStr">
        <is>
          <t>Financial Control</t>
        </is>
      </c>
      <c r="B13" s="105" t="inlineStr">
        <is>
          <t>Cloud &amp; Infra Budget Variance</t>
        </is>
      </c>
      <c r="C13" s="36">
        <f>'Cloud &amp; Infra Cost'!B4</f>
        <v/>
      </c>
      <c r="D13" s="37" t="inlineStr">
        <is>
          <t>&lt;= 0.0%</t>
        </is>
      </c>
      <c r="E13" s="37">
        <f>'Cloud &amp; Infra Cost'!B4</f>
        <v/>
      </c>
      <c r="F13" s="37" t="inlineStr">
        <is>
          <t>Formula</t>
        </is>
      </c>
      <c r="G13" s="38" t="inlineStr">
        <is>
          <t>Compliant</t>
        </is>
      </c>
      <c r="H13" s="36" t="inlineStr">
        <is>
          <t>FinOps Target: &lt;= 2%</t>
        </is>
      </c>
      <c r="I13" s="37" t="inlineStr">
        <is>
          <t>Monthly</t>
        </is>
      </c>
      <c r="J13" s="36" t="inlineStr">
        <is>
          <t>IT FinOps Manager</t>
        </is>
      </c>
    </row>
    <row r="14" ht="22" customHeight="1">
      <c r="A14" s="35" t="inlineStr">
        <is>
          <t>Asset Governance</t>
        </is>
      </c>
      <c r="B14" s="105" t="inlineStr">
        <is>
          <t>Software License Compliance %</t>
        </is>
      </c>
      <c r="C14" s="36" t="inlineStr">
        <is>
          <t>Allocated seats &lt;= Purchased seats</t>
        </is>
      </c>
      <c r="D14" s="37" t="inlineStr">
        <is>
          <t>100.0%</t>
        </is>
      </c>
      <c r="E14" s="37" t="inlineStr">
        <is>
          <t>100.0%</t>
        </is>
      </c>
      <c r="F14" s="37" t="inlineStr">
        <is>
          <t>0.0%</t>
        </is>
      </c>
      <c r="G14" s="38" t="inlineStr">
        <is>
          <t>Compliant</t>
        </is>
      </c>
      <c r="H14" s="36" t="inlineStr">
        <is>
          <t>SAM ISO 19770: 100%</t>
        </is>
      </c>
      <c r="I14" s="37" t="inlineStr">
        <is>
          <t>Quarterly</t>
        </is>
      </c>
      <c r="J14" s="36" t="inlineStr">
        <is>
          <t>SAM Lead</t>
        </is>
      </c>
    </row>
    <row r="15" ht="22" customHeight="1">
      <c r="A15" s="35" t="inlineStr">
        <is>
          <t>Disaster Recovery</t>
        </is>
      </c>
      <c r="B15" s="105" t="inlineStr">
        <is>
          <t>Automated Backup Success Rate</t>
        </is>
      </c>
      <c r="C15" s="36">
        <f>'Backup &amp; DR'!B3</f>
        <v/>
      </c>
      <c r="D15" s="37" t="inlineStr">
        <is>
          <t>100.0%</t>
        </is>
      </c>
      <c r="E15" s="37">
        <f>'Backup &amp; DR'!B3</f>
        <v/>
      </c>
      <c r="F15" s="37" t="inlineStr">
        <is>
          <t>Formula</t>
        </is>
      </c>
      <c r="G15" s="38" t="inlineStr">
        <is>
          <t>Compliant</t>
        </is>
      </c>
      <c r="H15" s="36" t="inlineStr">
        <is>
          <t>ISO 22301: 100%</t>
        </is>
      </c>
      <c r="I15" s="37" t="inlineStr">
        <is>
          <t>Weekly</t>
        </is>
      </c>
      <c r="J15" s="36" t="inlineStr">
        <is>
          <t>Infrastructure Lead</t>
        </is>
      </c>
    </row>
    <row r="16" ht="22" customHeight="1">
      <c r="A16" s="35" t="inlineStr">
        <is>
          <t>Project Delivery</t>
        </is>
      </c>
      <c r="B16" s="105" t="inlineStr">
        <is>
          <t>Strategic Projects On-Time Rate</t>
        </is>
      </c>
      <c r="C16" s="36">
        <f>'IT Project Portfolio'!B7</f>
        <v/>
      </c>
      <c r="D16" s="37" t="inlineStr">
        <is>
          <t>&gt;= 85.0%</t>
        </is>
      </c>
      <c r="E16" s="37" t="inlineStr">
        <is>
          <t>80.0%</t>
        </is>
      </c>
      <c r="F16" s="37" t="inlineStr">
        <is>
          <t>-5.0%</t>
        </is>
      </c>
      <c r="G16" s="73" t="inlineStr">
        <is>
          <t>Warning</t>
        </is>
      </c>
      <c r="H16" s="36" t="inlineStr">
        <is>
          <t>PMI Standard: 80%</t>
        </is>
      </c>
      <c r="I16" s="37" t="inlineStr">
        <is>
          <t>Monthly</t>
        </is>
      </c>
      <c r="J16" s="36" t="inlineStr">
        <is>
          <t>IT PMO Lead</t>
        </is>
      </c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2026-10-15T13:23:08Z</dcterms:created>
  <dcterms:modified xsi:type="dcterms:W3CDTF">2026-10-18T14:36:26Z</dcterms:modified>
</cp:coreProperties>
</file>